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LADOLID\"/>
    </mc:Choice>
  </mc:AlternateContent>
  <workbookProtection workbookAlgorithmName="SHA-512" workbookHashValue="zbdmc8wrU6P77qQ2ciqf/tOZ3KdpFiD28I7ZPUvzRgShGPCq22KADYa92+hkiLnWobR2PD2skoYTYWD3nwh4IA==" workbookSaltValue="WvdIY/gKa5FOpi4nkPcLv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BR21" i="16"/>
  <c r="BP21" i="16"/>
  <c r="AA21" i="27"/>
  <c r="AX21" i="21"/>
  <c r="G20" i="7" l="1"/>
  <c r="BF13" i="8"/>
  <c r="BE13" i="8"/>
  <c r="F13" i="12"/>
  <c r="J9" i="12"/>
  <c r="BL21" i="26"/>
  <c r="BD19" i="13"/>
  <c r="K12" i="12"/>
  <c r="J12" i="12"/>
  <c r="S16" i="16"/>
  <c r="BW16" i="27"/>
  <c r="P16" i="17"/>
  <c r="S16" i="26"/>
  <c r="BL16" i="11"/>
  <c r="BJ16" i="11"/>
  <c r="BH16" i="11"/>
  <c r="BF16" i="11"/>
  <c r="Q16" i="17"/>
  <c r="BM16" i="11"/>
  <c r="BI16" i="11"/>
  <c r="BG16" i="11"/>
  <c r="V16" i="11"/>
  <c r="AP16" i="20"/>
  <c r="BV16" i="16"/>
  <c r="BH16" i="16"/>
  <c r="T16" i="16"/>
  <c r="AP16" i="27"/>
  <c r="BU16" i="17"/>
  <c r="BV16" i="26"/>
  <c r="BH16" i="26"/>
  <c r="T16" i="26"/>
  <c r="BK16" i="11"/>
  <c r="AZ16" i="11"/>
  <c r="V16" i="27"/>
  <c r="V16" i="20"/>
  <c r="X16" i="26"/>
  <c r="T16" i="11"/>
  <c r="V16" i="26"/>
  <c r="S16" i="17"/>
  <c r="V16" i="16"/>
  <c r="AM16" i="11"/>
  <c r="AO16" i="17"/>
  <c r="U16" i="17"/>
  <c r="X16" i="16"/>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<sst xmlns="http://schemas.openxmlformats.org/spreadsheetml/2006/main" count="2513" uniqueCount="1026">
  <si>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</si>
  <si>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</si>
  <si>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</si>
  <si>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</si>
  <si>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</si>
  <si>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</si>
  <si>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</si>
  <si>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</si>
  <si>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</si>
  <si>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</si>
  <si>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</si>
  <si>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</si>
  <si>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</si>
  <si>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</si>
  <si>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</si>
  <si>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</si>
  <si>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</si>
  <si>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</si>
  <si>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</si>
  <si>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</si>
  <si>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</si>
  <si>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</si>
  <si>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</si>
  <si>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</si>
  <si>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</si>
  <si>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</si>
  <si>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</si>
  <si>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</si>
  <si>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</si>
  <si>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</si>
  <si>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</si>
  <si>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</si>
  <si>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</si>
  <si>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</si>
  <si>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</si>
  <si>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</si>
  <si>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</si>
  <si>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</si>
  <si>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</si>
  <si>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</si>
  <si>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</si>
  <si>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</si>
  <si>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</si>
  <si>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</si>
  <si>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</si>
  <si>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</si>
  <si>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</si>
  <si>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</si>
  <si>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</si>
  <si>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</si>
  <si>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</si>
  <si>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</si>
  <si>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</si>
  <si>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</si>
  <si>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</si>
  <si>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</si>
  <si>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</si>
  <si>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</si>
  <si>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</si>
  <si>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</si>
  <si>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</si>
  <si>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</si>
  <si>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</si>
  <si>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</si>
  <si>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</si>
  <si>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</si>
  <si>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</si>
  <si>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</si>
  <si>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</si>
  <si>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</si>
  <si>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</si>
  <si>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</si>
  <si>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</si>
  <si>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</si>
  <si>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</si>
  <si>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</si>
  <si>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</si>
  <si>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</si>
  <si>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</si>
  <si>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</si>
  <si>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</si>
  <si>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</si>
  <si>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</si>
  <si>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</si>
  <si>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</si>
  <si>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</si>
  <si>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</si>
  <si>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</si>
  <si>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</si>
  <si>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</si>
  <si>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</si>
  <si>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</si>
  <si>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</si>
  <si>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</si>
  <si>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</si>
  <si>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</si>
  <si>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</si>
  <si>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</si>
  <si>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</si>
  <si>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</si>
  <si>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</si>
  <si>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</si>
  <si>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</si>
  <si>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</si>
  <si>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</si>
  <si>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</si>
  <si>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</si>
  <si>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</si>
  <si>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</si>
  <si>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</si>
  <si>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</si>
  <si>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</si>
  <si>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</si>
  <si>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</si>
  <si>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</si>
  <si>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</si>
  <si>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</si>
  <si>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</si>
  <si>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</si>
  <si>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</si>
  <si>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</si>
  <si>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</si>
  <si>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</si>
  <si>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</si>
  <si>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</si>
  <si>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</si>
  <si>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</si>
  <si>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</si>
  <si>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</si>
  <si>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</si>
  <si>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</si>
  <si>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</si>
  <si>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</si>
  <si>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</si>
  <si>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</si>
  <si>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</si>
  <si>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</si>
  <si>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</si>
  <si>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</si>
  <si>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</si>
  <si>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</si>
  <si>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</si>
  <si>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</si>
  <si>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</si>
  <si>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</si>
  <si>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</si>
  <si>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</si>
  <si>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</si>
  <si>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</si>
  <si>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</si>
  <si>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</si>
  <si>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</si>
  <si>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</si>
  <si>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</si>
  <si>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</si>
  <si>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</si>
  <si>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</si>
  <si>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</si>
  <si>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</si>
  <si>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</si>
  <si>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</si>
  <si>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</si>
  <si>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</si>
  <si>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</si>
  <si>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</si>
  <si>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</si>
  <si>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</si>
  <si>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</si>
  <si>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</si>
  <si>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</si>
  <si>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</si>
  <si>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</si>
  <si>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</si>
  <si>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</si>
  <si>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</si>
  <si>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</si>
  <si>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</si>
  <si>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</si>
  <si>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</si>
  <si>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</si>
  <si>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</si>
  <si>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</si>
  <si>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</si>
  <si>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</si>
  <si>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</si>
  <si>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</si>
  <si>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</si>
  <si>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</si>
  <si>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</si>
  <si>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</si>
  <si>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</si>
  <si>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</si>
  <si>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</si>
  <si>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</si>
  <si>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</si>
  <si>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</si>
  <si>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</si>
  <si>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</si>
  <si>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</si>
  <si>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</si>
  <si>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</si>
  <si>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</si>
  <si>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</si>
  <si>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</si>
  <si>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</si>
  <si>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</si>
  <si>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</si>
  <si>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</si>
  <si>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</si>
  <si>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</si>
  <si>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</si>
  <si>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</si>
  <si>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</si>
  <si>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</si>
  <si>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</si>
  <si>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</si>
  <si>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</si>
  <si>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</si>
  <si>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</si>
  <si>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</si>
  <si>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</si>
  <si>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</si>
  <si>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</si>
  <si>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</si>
  <si>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</si>
  <si>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</si>
  <si>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</si>
  <si>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</si>
  <si>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</si>
  <si>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</si>
  <si>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</si>
  <si>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</si>
  <si>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</si>
  <si>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</si>
  <si>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</si>
  <si>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</si>
  <si>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</si>
  <si>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</si>
  <si>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</si>
  <si>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</si>
  <si>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</si>
  <si>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</si>
  <si>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</si>
  <si>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</si>
  <si>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</si>
  <si>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</si>
  <si>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</si>
  <si>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</si>
  <si>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</si>
  <si>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</si>
  <si>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</si>
  <si>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</si>
  <si>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</si>
  <si>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</si>
  <si>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</si>
  <si>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</si>
  <si>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</si>
  <si>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</si>
  <si>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</si>
  <si>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</si>
  <si>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</si>
  <si>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</si>
  <si>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</si>
  <si>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</si>
  <si>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</si>
  <si>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</si>
  <si>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</si>
  <si>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</si>
  <si>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</si>
  <si>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</si>
  <si>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</si>
  <si>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</si>
  <si>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</si>
  <si>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</si>
  <si>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</si>
  <si>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</si>
  <si>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</si>
  <si>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</si>
  <si>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</si>
  <si>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</si>
  <si>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</si>
  <si>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</si>
  <si>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</si>
  <si>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</si>
  <si>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</si>
  <si>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</si>
  <si>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</si>
  <si>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</si>
  <si>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</si>
  <si>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</si>
  <si>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</si>
  <si>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</si>
  <si>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</si>
  <si>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</si>
  <si>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</si>
  <si>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</si>
  <si>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</si>
  <si>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</si>
  <si>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</si>
  <si>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</si>
  <si>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</si>
  <si>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</si>
  <si>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</si>
  <si>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</si>
  <si>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</si>
  <si>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</si>
  <si>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</si>
  <si>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</si>
  <si>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</si>
  <si>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</si>
  <si>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</si>
  <si>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</si>
  <si>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</si>
  <si>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</si>
  <si>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</si>
  <si>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</si>
  <si>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</si>
  <si>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</si>
  <si>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</si>
  <si>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</si>
  <si>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</si>
  <si>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</si>
  <si>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</si>
  <si>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</si>
  <si>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</si>
  <si>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</si>
  <si>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</si>
  <si>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</si>
  <si>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</si>
  <si>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</si>
  <si>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</si>
  <si>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</si>
  <si>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</si>
  <si>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</si>
  <si>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</si>
  <si>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</si>
  <si>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</si>
  <si>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</si>
  <si>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</si>
  <si>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</si>
  <si>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</si>
  <si>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</si>
  <si>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</si>
  <si>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</si>
  <si>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</si>
  <si>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</si>
  <si>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</si>
  <si>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</si>
  <si>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</si>
  <si>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</si>
  <si>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</si>
  <si>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</si>
  <si>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</si>
  <si>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</si>
  <si>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</si>
  <si>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</si>
  <si>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</si>
  <si>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</si>
  <si>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</si>
  <si>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</si>
  <si>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</si>
  <si>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</si>
  <si>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</si>
  <si>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</si>
  <si>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</si>
  <si>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</si>
  <si>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</si>
  <si>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</si>
  <si>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</si>
  <si>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</si>
  <si>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</si>
  <si>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</si>
  <si>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</si>
  <si>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</si>
  <si>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</si>
  <si>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</si>
  <si>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</si>
  <si>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</si>
  <si>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</si>
  <si>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</si>
  <si>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</si>
  <si>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</si>
  <si>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</si>
  <si>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</si>
  <si>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</si>
  <si>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</si>
  <si>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</si>
  <si>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</si>
  <si>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</si>
  <si>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</si>
  <si>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</si>
  <si>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</si>
  <si>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</si>
  <si>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</si>
  <si>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</si>
  <si>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</si>
  <si>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</si>
  <si>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</si>
  <si>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</si>
  <si>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</si>
  <si>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</si>
  <si>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</si>
  <si>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</si>
  <si>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</si>
  <si>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</si>
  <si>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</si>
  <si>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</si>
  <si>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</si>
  <si>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</si>
  <si>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</si>
  <si>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</si>
  <si>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</si>
  <si>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</si>
  <si>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</si>
  <si>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</si>
  <si>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</si>
  <si>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</si>
  <si>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</si>
  <si>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</si>
  <si>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</si>
  <si>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</si>
  <si>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</si>
  <si>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</si>
  <si>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</si>
  <si>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</si>
  <si>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</si>
  <si>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</si>
  <si>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</si>
  <si>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</si>
  <si>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</si>
  <si>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</si>
  <si>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</si>
  <si>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</si>
  <si>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</si>
  <si>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</si>
  <si>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</si>
  <si>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</si>
  <si>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</si>
  <si>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</si>
  <si>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</si>
  <si>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</si>
  <si>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</si>
  <si>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</si>
  <si>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</si>
  <si>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</si>
  <si>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</si>
  <si>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</si>
  <si>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</si>
  <si>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</si>
  <si>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</si>
  <si>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</si>
  <si>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</si>
  <si>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</si>
  <si>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</si>
  <si>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</si>
  <si>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</si>
  <si>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</si>
  <si>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</si>
  <si>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</si>
  <si>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</si>
  <si>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</si>
  <si>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</si>
  <si>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</si>
  <si>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</si>
  <si>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</si>
  <si>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</si>
  <si>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</si>
  <si>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</si>
  <si>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</si>
  <si>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</si>
  <si>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</si>
  <si>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</si>
  <si>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</si>
  <si>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</si>
  <si>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</si>
  <si>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</si>
  <si>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</si>
  <si>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</si>
  <si>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</si>
  <si>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</si>
  <si>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</si>
  <si>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</si>
  <si>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</si>
  <si>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</si>
  <si>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</si>
  <si>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</si>
  <si>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</si>
  <si>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</si>
  <si>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</si>
  <si>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</si>
  <si>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</si>
  <si>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</si>
  <si>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</si>
  <si>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</si>
  <si>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</si>
  <si>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</si>
  <si>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</si>
  <si>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</si>
  <si>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</si>
  <si>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</si>
  <si>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</si>
  <si>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</si>
  <si>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</si>
  <si>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</si>
  <si>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</si>
  <si>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</si>
  <si>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</si>
  <si>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</si>
  <si>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</si>
  <si>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</si>
  <si>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</si>
  <si>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</si>
  <si>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</si>
  <si>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</si>
  <si>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</si>
  <si>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</si>
  <si>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</si>
  <si>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</si>
  <si>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</si>
  <si>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</si>
  <si>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</si>
  <si>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</si>
  <si>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</si>
  <si>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</si>
  <si>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</si>
  <si>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</si>
  <si>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</si>
  <si>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</si>
  <si>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</si>
  <si>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</si>
  <si>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</si>
  <si>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</si>
  <si>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</si>
  <si>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</si>
  <si>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</si>
  <si>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</si>
  <si>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</si>
  <si>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</si>
  <si>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</si>
  <si>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</si>
  <si>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</si>
  <si>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</si>
  <si>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</si>
  <si>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</si>
  <si>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</si>
  <si>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</si>
  <si>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</si>
  <si>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</si>
  <si>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</si>
  <si>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</si>
  <si>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</si>
  <si>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</si>
  <si>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</si>
  <si>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</si>
  <si>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</si>
  <si>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</si>
  <si>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</si>
  <si>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</si>
  <si>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</si>
  <si>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</si>
  <si>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</si>
  <si>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</si>
  <si>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</si>
  <si>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</si>
  <si>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</si>
  <si>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</si>
  <si>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</si>
  <si>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</si>
  <si>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</si>
  <si>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</si>
  <si>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</si>
  <si>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</si>
  <si>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</si>
  <si>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</si>
  <si>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</si>
  <si>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</si>
  <si>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</si>
  <si>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</si>
  <si>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</si>
  <si>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</si>
  <si>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</si>
  <si>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</si>
  <si>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</si>
  <si>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</si>
  <si>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</si>
  <si>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</si>
  <si>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</si>
  <si>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</si>
  <si>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</si>
  <si>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</si>
  <si>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</si>
  <si>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</si>
  <si>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</si>
  <si>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</si>
  <si>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</si>
  <si>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</si>
  <si>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</si>
  <si>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</si>
  <si>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</si>
  <si>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</si>
  <si>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</si>
  <si>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</si>
  <si>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</si>
  <si>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</si>
  <si>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</si>
  <si>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</si>
  <si>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</si>
  <si>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</si>
  <si>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</si>
  <si>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</si>
  <si>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</si>
  <si>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</si>
  <si>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</si>
  <si>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</si>
  <si>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</si>
  <si>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</si>
  <si>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</si>
  <si>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</si>
  <si>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</si>
  <si>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</si>
  <si>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</si>
  <si>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</si>
  <si>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</si>
  <si>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</si>
  <si>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</si>
  <si>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</si>
  <si>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</si>
  <si>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</si>
  <si>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</si>
  <si>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</si>
  <si>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</si>
  <si>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</si>
  <si>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</si>
  <si>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</si>
  <si>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</si>
  <si>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</si>
  <si>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</si>
  <si>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</si>
  <si>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</si>
  <si>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</si>
  <si>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</si>
  <si>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</si>
  <si>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</si>
  <si>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</si>
  <si>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</si>
  <si>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</si>
  <si>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</si>
  <si>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</si>
  <si>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</si>
  <si>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</si>
  <si>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</si>
  <si>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</si>
  <si>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</si>
  <si>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</si>
  <si>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</si>
  <si>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</si>
  <si>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</si>
  <si>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</si>
  <si>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</si>
  <si>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</si>
  <si>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</si>
  <si>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</si>
  <si>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</si>
  <si>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</si>
  <si>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</si>
  <si>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</si>
  <si>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</si>
  <si>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</si>
  <si>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</si>
  <si>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</si>
  <si>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</si>
  <si>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</si>
  <si>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</si>
  <si>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</si>
  <si>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</si>
  <si>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</si>
  <si>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</si>
  <si>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</si>
  <si>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</si>
  <si>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</si>
  <si>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</si>
  <si>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</si>
  <si>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</si>
  <si>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</si>
  <si>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</si>
  <si>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</si>
  <si>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</si>
  <si>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</si>
  <si>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</si>
  <si>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</si>
  <si>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</si>
  <si>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</si>
  <si>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</si>
  <si>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</si>
  <si>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</si>
  <si>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</si>
  <si>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</si>
  <si>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</si>
  <si>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</si>
  <si>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</si>
  <si>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</si>
  <si>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</si>
  <si>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</si>
  <si>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</si>
  <si>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</si>
  <si>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</si>
  <si>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</si>
  <si>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</si>
  <si>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</si>
  <si>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</si>
  <si>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</si>
  <si>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</si>
  <si>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</si>
  <si>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</si>
  <si>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</si>
  <si>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</si>
  <si>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</si>
  <si>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</si>
  <si>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</si>
  <si>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</si>
  <si>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</si>
  <si>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</si>
  <si>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</si>
  <si>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</si>
  <si>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</si>
  <si>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</si>
  <si>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</si>
  <si>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</si>
  <si>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</si>
  <si>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</si>
  <si>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</si>
  <si>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</si>
  <si>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</si>
  <si>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</si>
  <si>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</si>
  <si>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</si>
  <si>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</si>
  <si>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</si>
  <si>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</si>
  <si>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</si>
  <si>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</si>
  <si>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</si>
  <si>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</si>
  <si>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</si>
  <si>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</si>
  <si>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</si>
  <si>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</si>
  <si>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</si>
  <si>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</si>
  <si>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</si>
  <si>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</si>
  <si>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</si>
  <si>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</si>
  <si>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</si>
  <si>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</si>
  <si>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</si>
  <si>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</si>
  <si>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</si>
  <si>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</si>
  <si>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</si>
  <si>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</si>
  <si>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</si>
  <si>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</si>
  <si>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</si>
  <si>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</si>
  <si>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</si>
  <si>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</si>
  <si>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</si>
  <si>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</si>
  <si>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</si>
  <si>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</si>
  <si>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</si>
  <si>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</si>
  <si>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</si>
  <si>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</si>
  <si>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</si>
  <si>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</si>
  <si>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</si>
  <si>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</si>
  <si>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</si>
  <si>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</si>
  <si>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</si>
  <si>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</si>
  <si>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</si>
  <si>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</si>
  <si>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</si>
  <si>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</si>
  <si>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</si>
  <si>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</si>
  <si>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</si>
  <si>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</si>
  <si>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</si>
  <si>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</si>
  <si>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</si>
  <si>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</si>
  <si>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</si>
  <si>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</si>
  <si>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</si>
  <si>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</si>
  <si>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</si>
  <si>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</si>
  <si>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</si>
  <si>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</si>
  <si>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</si>
  <si>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</si>
  <si>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</si>
  <si>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</si>
  <si>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</si>
  <si>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</si>
  <si>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</si>
  <si>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</si>
  <si>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</si>
  <si>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</si>
  <si>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</si>
  <si>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</si>
  <si>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</si>
  <si>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</si>
  <si>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</si>
  <si>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</si>
  <si>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</si>
  <si>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</si>
  <si>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</si>
  <si>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</si>
  <si>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</si>
  <si>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</si>
  <si>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</si>
  <si>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</si>
  <si>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</si>
  <si>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</si>
  <si>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</si>
  <si>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</si>
  <si>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</si>
  <si>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</si>
  <si>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</si>
  <si>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</si>
  <si>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</si>
  <si>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</si>
  <si>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</si>
  <si>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</si>
  <si>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</si>
  <si>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</si>
  <si>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</si>
  <si>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</si>
  <si>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</si>
  <si>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</si>
  <si>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</si>
  <si>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</si>
  <si>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</si>
  <si>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</si>
  <si>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</si>
  <si>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</si>
  <si>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</si>
  <si>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</si>
  <si>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</si>
  <si>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</si>
  <si>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</si>
  <si>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</si>
  <si>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</si>
  <si>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</si>
  <si>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</si>
  <si>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</si>
  <si>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</si>
  <si>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</si>
  <si>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</si>
  <si>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</si>
  <si>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</si>
  <si>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</si>
  <si>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</si>
  <si>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</si>
  <si>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</si>
  <si>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</si>
  <si>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</si>
  <si>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</si>
  <si>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</si>
  <si>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</si>
  <si>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</si>
  <si>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</si>
  <si>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</si>
  <si>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</si>
  <si>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</si>
  <si>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</si>
  <si>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</si>
  <si>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</si>
  <si>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</si>
  <si>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</si>
  <si>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</si>
  <si>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</si>
  <si>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</si>
  <si>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</si>
  <si>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</si>
  <si>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</si>
  <si>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</si>
  <si>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</si>
  <si>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</si>
  <si>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</si>
  <si>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</si>
  <si>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</si>
  <si>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</si>
  <si>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</si>
  <si>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</si>
  <si>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</si>
  <si>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</si>
  <si>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</si>
  <si>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</si>
  <si>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</si>
  <si>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</si>
  <si>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</si>
  <si>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</si>
  <si>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</si>
  <si>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</si>
  <si>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</si>
  <si>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</si>
  <si>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</si>
  <si>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</si>
  <si>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</si>
  <si>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</si>
  <si>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</si>
  <si>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</si>
  <si>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</si>
  <si>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</si>
  <si>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</si>
  <si>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</si>
  <si>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</si>
  <si>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</si>
  <si>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</si>
  <si>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</si>
  <si>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</si>
  <si>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</si>
  <si>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</si>
  <si>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</si>
  <si>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</si>
  <si>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</si>
  <si>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</si>
  <si>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</si>
  <si>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</si>
  <si>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</si>
  <si>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</si>
  <si>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</si>
  <si>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</si>
  <si>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</si>
  <si>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</si>
  <si>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</si>
  <si>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</si>
  <si>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</si>
  <si>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</si>
  <si>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</si>
  <si>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</si>
  <si>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</si>
  <si>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</si>
  <si>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</si>
  <si>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</si>
  <si>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</si>
  <si>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</si>
  <si>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</si>
  <si>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</si>
  <si>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</si>
  <si>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</si>
  <si>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</si>
  <si>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</si>
  <si>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</si>
  <si>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</si>
  <si>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</si>
  <si>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</si>
  <si>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</si>
  <si>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</si>
  <si>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</si>
  <si>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</si>
  <si>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</si>
  <si>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</si>
  <si>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</si>
  <si>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</si>
  <si>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</si>
  <si>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</si>
  <si>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</si>
  <si>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</si>
  <si>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</si>
  <si>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</si>
  <si>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</si>
  <si>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</si>
  <si>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</si>
  <si>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</si>
  <si>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</si>
  <si>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</si>
  <si>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</si>
  <si>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</si>
  <si>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</si>
  <si>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</si>
  <si>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</si>
  <si>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</si>
  <si>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</si>
  <si>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</si>
  <si>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</si>
  <si>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</si>
  <si>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</si>
  <si>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</si>
  <si>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</si>
  <si>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</si>
  <si>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</si>
  <si>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</si>
  <si>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</si>
  <si>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</si>
  <si>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</si>
  <si>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</si>
  <si>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</si>
  <si>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</si>
  <si>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</si>
  <si>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</si>
  <si>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</si>
  <si>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</si>
  <si>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</si>
  <si>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</si>
  <si>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</si>
  <si>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</si>
  <si>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</si>
  <si>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</si>
  <si>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</si>
  <si>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</si>
  <si>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</si>
  <si>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</si>
  <si>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</si>
  <si>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</si>
  <si>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</si>
  <si>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</si>
  <si>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</si>
  <si>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VALLADOLID</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</si>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</sst>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Qsx+QjA1Lq7h5el5IvNvqlvXVCHDoKvRY90M3SmJVs5rFufseqpAXemKC868us8eRnN3ePXd92KDbi/FfVOg==" saltValue="AK+Xezijr+3RUE+7cO2vR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VALLADOLID</v>
      </c>
      <c r="D3" s="374"/>
      <c r="E3" s="374"/>
      <c r="F3" s="374"/>
      <c r="BQ3" s="470"/>
    </row>
    <row r="4" spans="1:69" ht="13.5" thickBot="1">
      <c r="A4" s="374"/>
      <c r="B4" s="390" t="str">
        <f>Criterios!A11 &amp;"  "&amp;Criterios!B11</f>
        <v>Resumenes por Partidos Judiciales  VALLADOLID</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12</v>
      </c>
      <c r="C9" s="402">
        <f>IF(ISNUMBER(IF(J_V="SI",Datos!I9,Datos!I9+Datos!Y9)),IF(J_V="SI",Datos!I9,Datos!I9+Datos!Y9)," - ")</f>
        <v>16030</v>
      </c>
      <c r="D9" s="403">
        <f>IF(ISNUMBER(C9/Datos!BH9),C9/Datos!BH9," - ")</f>
        <v>1335.8333333333333</v>
      </c>
      <c r="E9" s="402">
        <f>IF(ISNUMBER(IF(J_V="SI",Datos!J9,Datos!J9+Datos!Z9)),IF(J_V="SI",Datos!J9,Datos!J9+Datos!Z9)," - ")</f>
        <v>6952</v>
      </c>
      <c r="F9" s="403">
        <f>IF(ISNUMBER(E9/B9),E9/B9," - ")</f>
        <v>579.33333333333337</v>
      </c>
      <c r="G9" s="402">
        <f>IF(ISNUMBER(IF(J_V="SI",Datos!K9,Datos!K9+Datos!AA9)),IF(J_V="SI",Datos!K9,Datos!K9+Datos!AA9)," - ")</f>
        <v>6581</v>
      </c>
      <c r="H9" s="403">
        <f>IF(ISNUMBER(G9/B9),G9/B9," - ")</f>
        <v>548.41666666666663</v>
      </c>
      <c r="I9" s="402">
        <f>IF(ISNUMBER(IF(J_V="SI",Datos!L9,Datos!L9+Datos!AB9)),IF(J_V="SI",Datos!L9,Datos!L9+Datos!AB9)," - ")</f>
        <v>16400</v>
      </c>
      <c r="J9" s="403">
        <f>IF(ISNUMBER(I9/B9),I9/B9," - ")</f>
        <v>1366.6666666666667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135</v>
      </c>
      <c r="D10" s="403">
        <f>IF(ISNUMBER(C10/Datos!BH10),C10/Datos!BH10," - ")</f>
        <v>135</v>
      </c>
      <c r="E10" s="402">
        <f>IF(ISNUMBER(Datos!J10),Datos!J10," - ")</f>
        <v>77</v>
      </c>
      <c r="F10" s="403">
        <f>IF(ISNUMBER(E10/B10),E10/B10," - ")</f>
        <v>38.5</v>
      </c>
      <c r="G10" s="402">
        <f>IF(ISNUMBER(Datos!K10),Datos!K10," - ")</f>
        <v>67</v>
      </c>
      <c r="H10" s="403">
        <f>IF(ISNUMBER(G10/B10),G10/B10," - ")</f>
        <v>33.5</v>
      </c>
      <c r="I10" s="402">
        <f>IF(ISNUMBER(Datos!L10),Datos!L10," - ")</f>
        <v>145</v>
      </c>
      <c r="J10" s="403">
        <f>IF(ISNUMBER(I10/B10),I10/B10," - ")</f>
        <v>72.5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3</v>
      </c>
      <c r="C11" s="402">
        <f>IF(ISNUMBER(IF(J_V="SI",Datos!I11,Datos!I11+Datos!Y11)),IF(J_V="SI",Datos!I11,Datos!I11+Datos!Y11)," - ")</f>
        <v>986</v>
      </c>
      <c r="D11" s="403">
        <f>IF(ISNUMBER(C11/Datos!BH11),C11/Datos!BH11," - ")</f>
        <v>164.33333333333334</v>
      </c>
      <c r="E11" s="402">
        <f>IF(ISNUMBER(IF(J_V="SI",Datos!J11,Datos!J11+Datos!Z11)),IF(J_V="SI",Datos!J11,Datos!J11+Datos!Z11)," - ")</f>
        <v>836</v>
      </c>
      <c r="F11" s="403">
        <f>IF(ISNUMBER(E11/B11),E11/B11," - ")</f>
        <v>278.66666666666669</v>
      </c>
      <c r="G11" s="402">
        <f>IF(ISNUMBER(IF(J_V="SI",Datos!K11,Datos!K11+Datos!AA11)),IF(J_V="SI",Datos!K11,Datos!K11+Datos!AA11)," - ")</f>
        <v>833</v>
      </c>
      <c r="H11" s="403">
        <f>IF(ISNUMBER(G11/B11),G11/B11," - ")</f>
        <v>277.66666666666669</v>
      </c>
      <c r="I11" s="402">
        <f>IF(ISNUMBER(IF(J_V="SI",Datos!L11,Datos!L11+Datos!AB11)),IF(J_V="SI",Datos!L11,Datos!L11+Datos!AB11)," - ")</f>
        <v>989</v>
      </c>
      <c r="J11" s="403">
        <f>IF(ISNUMBER(I11/B11),I11/B11," - ")</f>
        <v>329.66666666666669</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17</v>
      </c>
      <c r="C13" s="846">
        <f>SUBTOTAL(9,C8:C12)</f>
        <v>17151</v>
      </c>
      <c r="D13" s="847" t="str">
        <f>IF(ISNUMBER(C13/Datos!BI13),C13/Datos!BI13," - ")</f>
        <v xml:space="preserve"> - </v>
      </c>
      <c r="E13" s="846">
        <f>SUBTOTAL(9,E8:E12)</f>
        <v>7865</v>
      </c>
      <c r="F13" s="847">
        <f>IF(ISNUMBER(E13/B13),E13/B13," - ")</f>
        <v>462.64705882352939</v>
      </c>
      <c r="G13" s="846">
        <f>SUBTOTAL(9,G8:G12)</f>
        <v>7481</v>
      </c>
      <c r="H13" s="847">
        <f>IF(ISNUMBER(G13/B13),G13/B13," - ")</f>
        <v>440.05882352941177</v>
      </c>
      <c r="I13" s="846">
        <f>SUBTOTAL(9,I8:I12)</f>
        <v>17534</v>
      </c>
      <c r="J13" s="847">
        <f>IF(ISNUMBER(I13/B13),I13/B13," - ")</f>
        <v>1031.4117647058824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6</v>
      </c>
      <c r="C15" s="402">
        <f>IF(ISNUMBER(IF(D_I="SI",Datos!I15,Datos!I15+Datos!AC15)),IF(D_I="SI",Datos!I15,Datos!I15+Datos!AC15)," - ")</f>
        <v>8166</v>
      </c>
      <c r="D15" s="403">
        <f>IF(ISNUMBER(C15/Datos!BH15),C15/Datos!BH15," - ")</f>
        <v>1361</v>
      </c>
      <c r="E15" s="402">
        <f>IF(ISNUMBER(IF(D_I="SI",Datos!J15,Datos!J15+Datos!AD15)),IF(D_I="SI",Datos!J15,Datos!J15+Datos!AD15)," - ")</f>
        <v>5645</v>
      </c>
      <c r="F15" s="403">
        <f>IF(ISNUMBER(E15/B15),E15/B15," - ")</f>
        <v>940.83333333333337</v>
      </c>
      <c r="G15" s="402">
        <f>IF(ISNUMBER(IF(D_I="SI",Datos!K15,Datos!K15+Datos!AE15)),IF(D_I="SI",Datos!K15,Datos!K15+Datos!AE15)," - ")</f>
        <v>4887</v>
      </c>
      <c r="H15" s="403">
        <f>IF(ISNUMBER(G15/B15),G15/B15," - ")</f>
        <v>814.5</v>
      </c>
      <c r="I15" s="402">
        <f>IF(ISNUMBER(IF(D_I="SI",Datos!L15,Datos!L15+Datos!AF15)),IF(D_I="SI",Datos!L15,Datos!L15+Datos!AF15)," - ")</f>
        <v>8993</v>
      </c>
      <c r="J15" s="403">
        <f>IF(ISNUMBER(I15/B15),I15/B15," - ")</f>
        <v>1498.8333333333333</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266</v>
      </c>
      <c r="D18" s="403">
        <f>IF(ISNUMBER(C18/Datos!BH18),C18/Datos!BH18," - ")</f>
        <v>266</v>
      </c>
      <c r="E18" s="402">
        <f>IF(ISNUMBER(IF(D_I="SI",Datos!J18,Datos!J18+Datos!AD18)),IF(D_I="SI",Datos!J18,Datos!J18+Datos!AD18)," - ")</f>
        <v>545</v>
      </c>
      <c r="F18" s="403">
        <f>IF(ISNUMBER(E18/B18),E18/B18," - ")</f>
        <v>272.5</v>
      </c>
      <c r="G18" s="402">
        <f>IF(ISNUMBER(IF(D_I="SI",Datos!K18,Datos!K18+Datos!AE18)),IF(D_I="SI",Datos!K18,Datos!K18+Datos!AE18)," - ")</f>
        <v>479</v>
      </c>
      <c r="H18" s="403">
        <f>IF(ISNUMBER(G18/B18),G18/B18," - ")</f>
        <v>239.5</v>
      </c>
      <c r="I18" s="402">
        <f>IF(ISNUMBER(IF(D_I="SI",Datos!L18,Datos!L18+Datos!AF18)),IF(D_I="SI",Datos!L18,Datos!L18+Datos!AF18)," - ")</f>
        <v>329</v>
      </c>
      <c r="J18" s="403">
        <f>IF(ISNUMBER(I18/B18),I18/B18," - ")</f>
        <v>164.5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8432</v>
      </c>
      <c r="D19" s="847" t="str">
        <f>IF(ISNUMBER(C19/Datos!BI19),C19/Datos!BI19," - ")</f>
        <v xml:space="preserve"> - </v>
      </c>
      <c r="E19" s="846">
        <f>SUBTOTAL(9,E14:E18)</f>
        <v>6190</v>
      </c>
      <c r="F19" s="847">
        <f>IF(ISNUMBER(E19/B19),E19/B19," - ")</f>
        <v>773.75</v>
      </c>
      <c r="G19" s="846">
        <f>SUBTOTAL(9,G14:G18)</f>
        <v>5366</v>
      </c>
      <c r="H19" s="847">
        <f>IF(ISNUMBER(G19/B19),G19/B19," - ")</f>
        <v>670.75</v>
      </c>
      <c r="I19" s="846">
        <f>SUBTOTAL(9,I14:I18)</f>
        <v>9322</v>
      </c>
      <c r="J19" s="847">
        <f>IF(ISNUMBER(I19/B19),I19/B19," - ")</f>
        <v>1165.25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23</v>
      </c>
      <c r="C20" s="791">
        <f>SUBTOTAL(9,C9:C19)</f>
        <v>25583</v>
      </c>
      <c r="D20" s="792" t="str">
        <f>IF(ISNUMBER(C20/Datos!BI20),C20/Datos!BI20," - ")</f>
        <v xml:space="preserve"> - </v>
      </c>
      <c r="E20" s="791">
        <f>SUBTOTAL(9,E9:E19)</f>
        <v>14055</v>
      </c>
      <c r="F20" s="792">
        <f>IF(ISNUMBER(E20/B20),E20/B20," - ")</f>
        <v>611.08695652173913</v>
      </c>
      <c r="G20" s="791">
        <f>SUBTOTAL(9,G9:G19)</f>
        <v>12847</v>
      </c>
      <c r="H20" s="792">
        <f>IF(ISNUMBER(G20/B20),G20/B20," - ")</f>
        <v>558.56521739130437</v>
      </c>
      <c r="I20" s="791">
        <f>SUBTOTAL(9,I9:I19)</f>
        <v>26856</v>
      </c>
      <c r="J20" s="792">
        <f>IF(ISNUMBER(I20/B20),I20/B20," - ")</f>
        <v>1167.6521739130435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zgVqMEj4zRd7vuEBheMM+6X0BNHePh9jEl+x5qliBME2lTPxprIlirLEyrhEgCEO7lBpGTSjhFJdFCUAs2MYA==" saltValue="dFMri6ETcoywg2l4Rp3xD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VALLADOLID</v>
      </c>
      <c r="C3" s="414"/>
      <c r="F3" s="374"/>
      <c r="G3" s="374"/>
      <c r="H3" s="374"/>
    </row>
    <row r="4" spans="1:15" ht="13.5" thickBot="1">
      <c r="A4" s="374"/>
      <c r="B4" s="390" t="str">
        <f>Criterios!A11 &amp;"  "&amp;Criterios!B11</f>
        <v>Resumenes por Partidos Judiciales  VALLADOLID</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12</v>
      </c>
      <c r="D9" s="402">
        <f>Datos!BK9</f>
        <v>0</v>
      </c>
      <c r="E9" s="402">
        <f>Datos!AQ9</f>
        <v>12</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3</v>
      </c>
      <c r="D11" s="402">
        <f>Datos!BK11</f>
        <v>0</v>
      </c>
      <c r="E11" s="402">
        <f>Datos!AQ11</f>
        <v>3</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6</v>
      </c>
      <c r="D15" s="402">
        <f>Datos!BK15</f>
        <v>0</v>
      </c>
      <c r="E15" s="402">
        <f>Datos!AQ15</f>
        <v>6</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mRDsk7zFgJdi+/M6beBrTYNSNYdlNNeJYAGsUE+RyyLZ3adabf7wOirmYMKNjgYQ+kOjlWvYgYA1RjLsp3mBQ==" saltValue="t30l45s+haEeFaiBH6ir+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VALLADOLID</v>
      </c>
      <c r="C3" s="390"/>
      <c r="D3" s="424"/>
      <c r="BZ3" s="470"/>
    </row>
    <row r="4" spans="1:78" ht="13.5" thickBot="1">
      <c r="B4" s="390" t="str">
        <f>Criterios!A11 &amp;"  "&amp;Criterios!B11</f>
        <v>Resumenes por Partidos Judiciales  VALLADOLID</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12</v>
      </c>
      <c r="C9" s="409">
        <f>Datos!AQ9</f>
        <v>12</v>
      </c>
      <c r="D9" s="402">
        <f>IF(ISNUMBER(Datos!M9),Datos!M9," - ")</f>
        <v>2813</v>
      </c>
      <c r="E9" s="403">
        <f t="shared" ref="E9:E13" si="0">IF(ISNUMBER(D9/B9),D9/B9," - ")</f>
        <v>234.41666666666666</v>
      </c>
      <c r="F9" s="402">
        <f>IF(ISNUMBER(Datos!N9),Datos!N9," - ")</f>
        <v>2076</v>
      </c>
      <c r="G9" s="403">
        <f t="shared" ref="G9:G13" si="1">IF(ISNUMBER(F9/B9),F9/B9," - ")</f>
        <v>173</v>
      </c>
      <c r="H9" s="402">
        <f>IF(ISNUMBER(Datos!O9),Datos!O9," - ")</f>
        <v>2600</v>
      </c>
      <c r="I9" s="403">
        <f>IF(ISNUMBER(H9/B9),H9/B9," - ")</f>
        <v>216.66666666666666</v>
      </c>
      <c r="BZ9" s="1181">
        <f>Datos!EZ9</f>
        <v>0</v>
      </c>
    </row>
    <row r="10" spans="1:78">
      <c r="A10" s="401" t="str">
        <f>Datos!A10</f>
        <v>Sección De Violencia sobre la Mujer del TI</v>
      </c>
      <c r="B10" s="426">
        <f>Datos!AO10</f>
        <v>2</v>
      </c>
      <c r="C10" s="409">
        <f>Datos!AQ10</f>
        <v>2</v>
      </c>
      <c r="D10" s="402">
        <f>IF(ISNUMBER(Datos!M10),Datos!M10," - ")</f>
        <v>25</v>
      </c>
      <c r="E10" s="403">
        <f>IF(ISNUMBER(D10/B10),D10/B10," - ")</f>
        <v>12.5</v>
      </c>
      <c r="F10" s="402">
        <f>IF(ISNUMBER(Datos!N10),Datos!N10," - ")</f>
        <v>26</v>
      </c>
      <c r="G10" s="403">
        <f>IF(ISNUMBER(F10/B10),F10/B10," - ")</f>
        <v>13</v>
      </c>
      <c r="H10" s="402">
        <f>IF(ISNUMBER(Datos!O10),Datos!O10," - ")</f>
        <v>11</v>
      </c>
      <c r="I10" s="403">
        <f t="shared" ref="I10:I12" si="2">IF(ISNUMBER(H10/B10),H10/B10," - ")</f>
        <v>5.5</v>
      </c>
      <c r="BZ10" s="1181">
        <f>Datos!EZ10</f>
        <v>0</v>
      </c>
    </row>
    <row r="11" spans="1:78">
      <c r="A11" s="401" t="str">
        <f>Datos!A11</f>
        <v xml:space="preserve">Sección de Familia, infancia y capacidad del TI                           </v>
      </c>
      <c r="B11" s="426">
        <f>Datos!AO11</f>
        <v>3</v>
      </c>
      <c r="C11" s="409">
        <f>Datos!AQ11</f>
        <v>3</v>
      </c>
      <c r="D11" s="402">
        <f>IF(ISNUMBER(Datos!M11),Datos!M11," - ")</f>
        <v>210</v>
      </c>
      <c r="E11" s="403">
        <f t="shared" si="0"/>
        <v>70</v>
      </c>
      <c r="F11" s="402">
        <f>IF(ISNUMBER(Datos!N11),Datos!N11," - ")</f>
        <v>411</v>
      </c>
      <c r="G11" s="403">
        <f t="shared" si="1"/>
        <v>137</v>
      </c>
      <c r="H11" s="402">
        <f>IF(ISNUMBER(Datos!O11),Datos!O11," - ")</f>
        <v>291</v>
      </c>
      <c r="I11" s="403">
        <f t="shared" si="2"/>
        <v>97</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17</v>
      </c>
      <c r="C13" s="848">
        <f>Datos!AR13</f>
        <v>17</v>
      </c>
      <c r="D13" s="846">
        <f>SUBTOTAL(9,D9:D12)</f>
        <v>3048</v>
      </c>
      <c r="E13" s="847">
        <f t="shared" si="0"/>
        <v>179.29411764705881</v>
      </c>
      <c r="F13" s="846">
        <f>SUBTOTAL(9,F9:F12)</f>
        <v>2513</v>
      </c>
      <c r="G13" s="847">
        <f t="shared" si="1"/>
        <v>147.8235294117647</v>
      </c>
      <c r="H13" s="846">
        <f>SUBTOTAL(9,H9:H12)</f>
        <v>2902</v>
      </c>
      <c r="I13" s="847">
        <f>IF(ISNUMBER(H13/B13),H13/B13," - ")</f>
        <v>170.70588235294119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6</v>
      </c>
      <c r="C15" s="427">
        <f>Datos!AQ15</f>
        <v>6</v>
      </c>
      <c r="D15" s="402">
        <f>IF(ISNUMBER(Datos!M15),Datos!M15," - ")</f>
        <v>639</v>
      </c>
      <c r="E15" s="403">
        <f t="shared" ref="E15:E19" si="3">IF(ISNUMBER(D15/B15),D15/B15," - ")</f>
        <v>106.5</v>
      </c>
      <c r="F15" s="402">
        <f>IF(ISNUMBER(Datos!N15),Datos!N15," - ")</f>
        <v>2815</v>
      </c>
      <c r="G15" s="403">
        <f t="shared" ref="G15:G19" si="4">IF(ISNUMBER(F15/B15),F15/B15," - ")</f>
        <v>469.16666666666669</v>
      </c>
      <c r="H15" s="402">
        <f>IF(ISNUMBER(Datos!O15),Datos!O15," - ")</f>
        <v>147</v>
      </c>
      <c r="I15" s="403">
        <f t="shared" ref="I15:I18" si="5">IF(ISNUMBER(H15/B15),H15/B15," - ")</f>
        <v>24.5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33</v>
      </c>
      <c r="E18" s="403">
        <f>IF(ISNUMBER(D18/B18),D18/B18," - ")</f>
        <v>16.5</v>
      </c>
      <c r="F18" s="402">
        <f>IF(ISNUMBER(Datos!N18),Datos!N18," - ")</f>
        <v>365</v>
      </c>
      <c r="G18" s="403">
        <f>IF(ISNUMBER(F18/B18),F18/B18," - ")</f>
        <v>182.5</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672</v>
      </c>
      <c r="E19" s="847">
        <f t="shared" si="3"/>
        <v>84</v>
      </c>
      <c r="F19" s="846">
        <f>SUBTOTAL(9,F15:F18)</f>
        <v>3180</v>
      </c>
      <c r="G19" s="847">
        <f t="shared" si="4"/>
        <v>397.5</v>
      </c>
      <c r="H19" s="846">
        <f>SUBTOTAL(9,H15:H18)</f>
        <v>147</v>
      </c>
      <c r="I19" s="847">
        <f>IF(ISNUMBER(H19/B19),H19/B19," - ")</f>
        <v>18.375</v>
      </c>
      <c r="BZ19" s="1181"/>
    </row>
    <row r="20" spans="1:78" ht="14.25" thickTop="1" thickBot="1">
      <c r="A20" s="790" t="str">
        <f>Datos!A20</f>
        <v>TOTAL JURISDICCIONES</v>
      </c>
      <c r="B20" s="791">
        <f>Datos!AP20</f>
        <v>23</v>
      </c>
      <c r="C20" s="791">
        <f>Datos!AR20</f>
        <v>23</v>
      </c>
      <c r="D20" s="791">
        <f>SUBTOTAL(9,D8:D19)</f>
        <v>3720</v>
      </c>
      <c r="E20" s="792">
        <f>IF(ISNUMBER(D20/B20),D20/B20," - ")</f>
        <v>161.7391304347826</v>
      </c>
      <c r="F20" s="791">
        <f>SUBTOTAL(9,F8:F19)</f>
        <v>5693</v>
      </c>
      <c r="G20" s="792">
        <f>IF(ISNUMBER(F20/B20),F20/B20," - ")</f>
        <v>247.52173913043478</v>
      </c>
      <c r="H20" s="791">
        <f>SUBTOTAL(9,H8:H19)</f>
        <v>3049</v>
      </c>
      <c r="I20" s="792">
        <f>IF(ISNUMBER(H20/B20),H20/B20," - ")</f>
        <v>132.56521739130434</v>
      </c>
    </row>
    <row r="23" spans="1:78">
      <c r="A23" s="390" t="str">
        <f>Criterios!A4</f>
        <v>Fecha Informe: 06 oct. 2026</v>
      </c>
    </row>
    <row r="28" spans="1:78">
      <c r="A28" s="413"/>
    </row>
  </sheetData>
  <sheetProtection algorithmName="SHA-512" hashValue="1r+nyOwl+sEiypzz46ys4ZVLItHb9QVXEWRnem8mGKOdwIaEbaatogPmBXAZCbfnN+a5C5lgElLwbeyN3K7b6A==" saltValue="ycihyblF6ajVZj0zA1RF5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VALLADOLID</v>
      </c>
    </row>
    <row r="4" spans="1:4" ht="13.5" thickBot="1">
      <c r="B4" s="390" t="str">
        <f>Criterios!A11 &amp;"  "&amp;Criterios!B11</f>
        <v>Resumenes por Partidos Judiciales  VALLADOLID</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1710</v>
      </c>
      <c r="C9" s="433">
        <f>IF(ISNUMBER(Datos!Q9),Datos!Q9," - ")</f>
        <v>1546</v>
      </c>
      <c r="D9" s="407">
        <f>IF(ISNUMBER(Datos!R9),Datos!R9," - ")</f>
        <v>26194</v>
      </c>
    </row>
    <row r="10" spans="1:4">
      <c r="A10" s="401" t="str">
        <f>Datos!A10</f>
        <v>Sección De Violencia sobre la Mujer del TI</v>
      </c>
      <c r="B10" s="432">
        <f>IF(ISNUMBER(Datos!P10),Datos!P10," - ")</f>
        <v>10</v>
      </c>
      <c r="C10" s="433">
        <f>IF(ISNUMBER(Datos!Q10),Datos!Q10," - ")</f>
        <v>5</v>
      </c>
      <c r="D10" s="407">
        <f>IF(ISNUMBER(Datos!R10),Datos!R10," - ")</f>
        <v>114</v>
      </c>
    </row>
    <row r="11" spans="1:4">
      <c r="A11" s="401" t="str">
        <f>Datos!A11</f>
        <v xml:space="preserve">Sección de Familia, infancia y capacidad del TI                           </v>
      </c>
      <c r="B11" s="432">
        <f>IF(ISNUMBER(Datos!P11),Datos!P11," - ")</f>
        <v>91</v>
      </c>
      <c r="C11" s="433">
        <f>IF(ISNUMBER(Datos!Q11),Datos!Q11," - ")</f>
        <v>110</v>
      </c>
      <c r="D11" s="407">
        <f>IF(ISNUMBER(Datos!R11),Datos!R11," - ")</f>
        <v>922</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1811</v>
      </c>
      <c r="C13" s="850">
        <f>SUBTOTAL(9,C9:C12)</f>
        <v>1661</v>
      </c>
      <c r="D13" s="848">
        <f>SUBTOTAL(9,D9:D12)</f>
        <v>27230</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272</v>
      </c>
      <c r="C15" s="433">
        <f>IF(ISNUMBER(Datos!Q15),Datos!Q15," - ")</f>
        <v>214</v>
      </c>
      <c r="D15" s="407">
        <f>IF(ISNUMBER(Datos!R15),Datos!R15," - ")</f>
        <v>685</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4</v>
      </c>
      <c r="C18" s="433">
        <f>IF(ISNUMBER(Datos!Q18),Datos!Q18," - ")</f>
        <v>5</v>
      </c>
      <c r="D18" s="407">
        <f>IF(ISNUMBER(Datos!R18),Datos!R18," - ")</f>
        <v>8</v>
      </c>
    </row>
    <row r="19" spans="1:4" ht="14.25" thickTop="1" thickBot="1">
      <c r="A19" s="845" t="str">
        <f>Datos!A19</f>
        <v>TOTAL</v>
      </c>
      <c r="B19" s="846">
        <f>SUBTOTAL(9,B15:B18)</f>
        <v>276</v>
      </c>
      <c r="C19" s="850">
        <f>SUBTOTAL(9,C15:C18)</f>
        <v>219</v>
      </c>
      <c r="D19" s="848">
        <f>SUBTOTAL(9,D15:D18)</f>
        <v>693</v>
      </c>
    </row>
    <row r="20" spans="1:4" ht="16.5" customHeight="1" thickTop="1" thickBot="1">
      <c r="A20" s="790" t="str">
        <f>Datos!A20</f>
        <v>TOTAL JURISDICCIONES</v>
      </c>
      <c r="B20" s="795">
        <f>SUBTOTAL(9,B8:B19)</f>
        <v>2087</v>
      </c>
      <c r="C20" s="796">
        <f>SUBTOTAL(9,C8:C19)</f>
        <v>1880</v>
      </c>
      <c r="D20" s="797">
        <f>SUBTOTAL(9,D8:D19)</f>
        <v>27923</v>
      </c>
    </row>
    <row r="21" spans="1:4" ht="7.5" customHeight="1"/>
    <row r="22" spans="1:4" ht="6" customHeight="1"/>
    <row r="23" spans="1:4">
      <c r="A23" s="390" t="str">
        <f>Criterios!A4</f>
        <v>Fecha Informe: 06 oct. 2026</v>
      </c>
    </row>
    <row r="28" spans="1:4">
      <c r="A28" s="413"/>
    </row>
  </sheetData>
  <sheetProtection algorithmName="SHA-512" hashValue="HQYyN2ruunLwN4MRCS70q3J+B/llv4ktQY5DnPCT4O2h7pNPYy1U+NSXDoxmg9zH/fzUdLRhlqfQsfFm97+xKQ==" saltValue="zUC15svmiy06nBLsubHIx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VALLADOLID</v>
      </c>
    </row>
    <row r="4" spans="1:11" ht="10.5" customHeight="1" thickBot="1">
      <c r="B4" s="390" t="str">
        <f>Criterios!A11 &amp;"  "&amp;Criterios!B11</f>
        <v>Resumenes por Partidos Judiciales  VALLADOLID</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-0.16597294484911551</v>
      </c>
      <c r="C9" s="455">
        <f>IF(ISNUMBER(
   IF(J_V="SI",(Datos!J9-Datos!T9)/Datos!T9,(Datos!J9+Datos!Z9-(Datos!T9+Datos!AH9))/(Datos!T9+Datos!AH9))
     ),IF(J_V="SI",(Datos!J9-Datos!T9)/Datos!T9,(Datos!J9+Datos!Z9-(Datos!T9+Datos!AH9))/(Datos!T9+Datos!AH9))," - ")</f>
        <v>-0.16991044776119402</v>
      </c>
      <c r="D9" s="455">
        <f>IF(ISNUMBER(
   IF(J_V="SI",(Datos!K9-Datos!U9)/Datos!U9,(Datos!K9+Datos!AA9-(Datos!U9+Datos!AI9))/(Datos!U9+Datos!AI9))
     ),IF(J_V="SI",(Datos!K9-Datos!U9)/Datos!U9,(Datos!K9+Datos!AA9-(Datos!U9+Datos!AI9))/(Datos!U9+Datos!AI9))," - ")</f>
        <v>-0.144769330734243</v>
      </c>
      <c r="E9" s="455">
        <f>IF(ISNUMBER(
   IF(J_V="SI",(Datos!L9-Datos!V9)/Datos!V9,(Datos!L9+Datos!AB9-(Datos!V9+Datos!AJ9))/(Datos!V9+Datos!AJ9))
     ),IF(J_V="SI",(Datos!L9-Datos!V9)/Datos!V9,(Datos!L9+Datos!AB9-(Datos!V9+Datos!AJ9))/(Datos!V9+Datos!AJ9))," - ")</f>
        <v>-0.19080278284896629</v>
      </c>
      <c r="F9" s="455">
        <f>IF(ISNUMBER((Datos!M9-Datos!W9)/Datos!W9),(Datos!M9-Datos!W9)/Datos!W9," - ")</f>
        <v>0.18892645815722739</v>
      </c>
      <c r="G9" s="456">
        <f>IF(ISNUMBER((Datos!N9-Datos!X9)/Datos!X9),(Datos!N9-Datos!X9)/Datos!X9," - ")</f>
        <v>-0.22681564245810057</v>
      </c>
      <c r="H9" s="454">
        <f>IF(ISNUMBER(((NºAsuntos!G9/NºAsuntos!E9)-Datos!BD9)/Datos!BD9),((NºAsuntos!G9/NºAsuntos!E9)-Datos!BD9)/Datos!BD9," - ")</f>
        <v>3.0287234623232889E-2</v>
      </c>
      <c r="I9" s="455">
        <f>IF(ISNUMBER(((NºAsuntos!I9/NºAsuntos!G9)-Datos!BE9)/Datos!BE9),((NºAsuntos!I9/NºAsuntos!G9)-Datos!BE9)/Datos!BE9," - ")</f>
        <v>-5.3825773290198317E-2</v>
      </c>
      <c r="J9" s="460">
        <f>IF(ISNUMBER((('Resol  Asuntos'!D9/NºAsuntos!G9)-Datos!BF9)/Datos!BF9),(('Resol  Asuntos'!D9/NºAsuntos!G9)-Datos!BF9)/Datos!BF9," - ")</f>
        <v>0.22501716894496515</v>
      </c>
      <c r="K9" s="461">
        <f>IF(ISNUMBER((((NºAsuntos!C9+NºAsuntos!E9)/NºAsuntos!G9)-Datos!BG9)/Datos!BG9),(((NºAsuntos!C9+NºAsuntos!E9)/NºAsuntos!G9)-Datos!BG9)/Datos!BG9," - ")</f>
        <v>-2.6190167497239038E-2</v>
      </c>
    </row>
    <row r="10" spans="1:11" ht="21">
      <c r="A10" s="401" t="str">
        <f>Datos!A10</f>
        <v>Sección De Violencia sobre la Mujer del TI</v>
      </c>
      <c r="B10" s="454">
        <f>IF(ISNUMBER((Datos!I10-Datos!S10)/Datos!S10),(Datos!I10-Datos!S10)/Datos!S10," - ")</f>
        <v>-1.4598540145985401E-2</v>
      </c>
      <c r="C10" s="455">
        <f>IF(ISNUMBER((Datos!J10-Datos!T10)/Datos!T10),(Datos!J10-Datos!T10)/Datos!T10," - ")</f>
        <v>0.24193548387096775</v>
      </c>
      <c r="D10" s="455">
        <f>IF(ISNUMBER((Datos!K10-Datos!U10)/Datos!U10),(Datos!K10-Datos!U10)/Datos!U10," - ")</f>
        <v>-0.11842105263157894</v>
      </c>
      <c r="E10" s="455">
        <f>IF(ISNUMBER((Datos!L10-Datos!V10)/Datos!V10),(Datos!L10-Datos!V10)/Datos!V10," - ")</f>
        <v>0.17886178861788618</v>
      </c>
      <c r="F10" s="455">
        <f>IF(ISNUMBER((Datos!M10-Datos!W10)/Datos!W10),(Datos!M10-Datos!W10)/Datos!W10," - ")</f>
        <v>-3.8461538461538464E-2</v>
      </c>
      <c r="G10" s="456">
        <f>IF(ISNUMBER((Datos!N10-Datos!X10)/Datos!X10),(Datos!N10-Datos!X10)/Datos!X10," - ")</f>
        <v>-0.29729729729729731</v>
      </c>
      <c r="H10" s="454">
        <f>IF(ISNUMBER(((NºAsuntos!G10/NºAsuntos!E10)-Datos!BD10)/Datos!BD10),((NºAsuntos!G10/NºAsuntos!E10)-Datos!BD10)/Datos!BD10," - ")</f>
        <v>-0.29015721120984284</v>
      </c>
      <c r="I10" s="455">
        <f>IF(ISNUMBER(((NºAsuntos!I10/NºAsuntos!G10)-Datos!BE10)/Datos!BE10),((NºAsuntos!I10/NºAsuntos!G10)-Datos!BE10)/Datos!BE10," - ")</f>
        <v>0.33721635723819909</v>
      </c>
      <c r="J10" s="460">
        <f>IF(ISNUMBER((('Resol  Asuntos'!D10/NºAsuntos!G10)-Datos!BF10)/Datos!BF10),(('Resol  Asuntos'!D10/NºAsuntos!G10)-Datos!BF10)/Datos!BF10," - ")</f>
        <v>9.0700344431687757E-2</v>
      </c>
      <c r="K10" s="461">
        <f>IF(ISNUMBER((((NºAsuntos!C10+NºAsuntos!E10)/NºAsuntos!G10)-Datos!BG10)/Datos!BG10),(((NºAsuntos!C10+NºAsuntos!E10)/NºAsuntos!G10)-Datos!BG10)/Datos!BG10," - ")</f>
        <v>0.20843021075526891</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-0.2972202423378475</v>
      </c>
      <c r="C11" s="455">
        <f>IF(ISNUMBER(
   IF(J_V="SI",(Datos!J11-Datos!T11)/Datos!T11,(Datos!J11+Datos!Z11-(Datos!T11+Datos!AH11))/(Datos!T11+Datos!AH11))
     ),IF(J_V="SI",(Datos!J11-Datos!T11)/Datos!T11,(Datos!J11+Datos!Z11-(Datos!T11+Datos!AH11))/(Datos!T11+Datos!AH11))," - ")</f>
        <v>-0.12643678160919541</v>
      </c>
      <c r="D11" s="455">
        <f>IF(ISNUMBER(
   IF(J_V="SI",(Datos!K11-Datos!U11)/Datos!U11,(Datos!K11+Datos!AA11-(Datos!U11+Datos!AI11))/(Datos!U11+Datos!AI11))
     ),IF(J_V="SI",(Datos!K11-Datos!U11)/Datos!U11,(Datos!K11+Datos!AA11-(Datos!U11+Datos!AI11))/(Datos!U11+Datos!AI11))," - ")</f>
        <v>-0.15858585858585858</v>
      </c>
      <c r="E11" s="455">
        <f>IF(ISNUMBER(
   IF(J_V="SI",(Datos!L11-Datos!V11)/Datos!V11,(Datos!L11+Datos!AB11-(Datos!V11+Datos!AJ11))/(Datos!V11+Datos!AJ11))
     ),IF(J_V="SI",(Datos!L11-Datos!V11)/Datos!V11,(Datos!L11+Datos!AB11-(Datos!V11+Datos!AJ11))/(Datos!V11+Datos!AJ11))," - ")</f>
        <v>-0.2415644171779141</v>
      </c>
      <c r="F11" s="455">
        <f>IF(ISNUMBER((Datos!M11-Datos!W11)/Datos!W11),(Datos!M11-Datos!W11)/Datos!W11," - ")</f>
        <v>-0.24731182795698925</v>
      </c>
      <c r="G11" s="456">
        <f>IF(ISNUMBER((Datos!N11-Datos!X11)/Datos!X11),(Datos!N11-Datos!X11)/Datos!X11," - ")</f>
        <v>-0.33170731707317075</v>
      </c>
      <c r="H11" s="454">
        <f>IF(ISNUMBER(((NºAsuntos!G11/NºAsuntos!E11)-Datos!BD11)/Datos!BD11),((NºAsuntos!G11/NºAsuntos!E11)-Datos!BD11)/Datos!BD11," - ")</f>
        <v>-3.6802232854864489E-2</v>
      </c>
      <c r="I11" s="455">
        <f>IF(ISNUMBER(((NºAsuntos!I11/NºAsuntos!G11)-Datos!BE11)/Datos!BE11),((NºAsuntos!I11/NºAsuntos!G11)-Datos!BE11)/Datos!BE11," - ")</f>
        <v>-9.8617974797280863E-2</v>
      </c>
      <c r="J11" s="460">
        <f>IF(ISNUMBER((('Resol  Asuntos'!D11/NºAsuntos!G11)-Datos!BF11)/Datos!BF11),(('Resol  Asuntos'!D11/NºAsuntos!G11)-Datos!BF11)/Datos!BF11," - ")</f>
        <v>-0.5941791350686616</v>
      </c>
      <c r="K11" s="461">
        <f>IF(ISNUMBER((((NºAsuntos!C11+NºAsuntos!E11)/NºAsuntos!G11)-Datos!BG11)/Datos!BG11),(((NºAsuntos!C11+NºAsuntos!E11)/NºAsuntos!G11)-Datos!BG11)/Datos!BG11," - ")</f>
        <v>-8.2456711498158572E-2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-0.17384393063583814</v>
      </c>
      <c r="C13" s="852">
        <f>IF(ISNUMBER(
   IF(J_V="SI",(Datos!J13-Datos!T13)/Datos!T13,(Datos!J13+Datos!Z13-(Datos!T13+Datos!AH13))/(Datos!T13+Datos!AH13))
     ),IF(J_V="SI",(Datos!J13-Datos!T13)/Datos!T13,(Datos!J13+Datos!Z13-(Datos!T13+Datos!AH13))/(Datos!T13+Datos!AH13))," - ")</f>
        <v>-0.16276346604215455</v>
      </c>
      <c r="D13" s="852">
        <f>IF(ISNUMBER(
   IF(J_V="SI",(Datos!K13-Datos!U13)/Datos!U13,(Datos!K13+Datos!AA13-(Datos!U13+Datos!AI13))/(Datos!U13+Datos!AI13))
     ),IF(J_V="SI",(Datos!K13-Datos!U13)/Datos!U13,(Datos!K13+Datos!AA13-(Datos!U13+Datos!AI13))/(Datos!U13+Datos!AI13))," - ")</f>
        <v>-0.14610204314575961</v>
      </c>
      <c r="E13" s="852">
        <f>IF(ISNUMBER(
   IF(J_V="SI",(Datos!L13-Datos!V13)/Datos!V13,(Datos!L13+Datos!AB13-(Datos!V13+Datos!AJ13))/(Datos!V13+Datos!AJ13))
     ),IF(J_V="SI",(Datos!L13-Datos!V13)/Datos!V13,(Datos!L13+Datos!AB13-(Datos!V13+Datos!AJ13))/(Datos!V13+Datos!AJ13))," - ")</f>
        <v>-0.19175808979441319</v>
      </c>
      <c r="F13" s="853">
        <f>IF(ISNUMBER((Datos!M13-Datos!W13)/Datos!W13),(Datos!M13-Datos!W13)/Datos!W13," - ")</f>
        <v>0.14114563833770125</v>
      </c>
      <c r="G13" s="854">
        <f>IF(ISNUMBER((Datos!N13-Datos!X13)/Datos!X13),(Datos!N13-Datos!X13)/Datos!X13," - ")</f>
        <v>-0.24692837878333831</v>
      </c>
      <c r="H13" s="854">
        <f>IF(ISNUMBER(((NºAsuntos!G13/NºAsuntos!E13)-Datos!BD13)/Datos!BD13),((NºAsuntos!G13/NºAsuntos!E13)-Datos!BD13)/Datos!BD13," - ")</f>
        <v>1.9900496718211584E-2</v>
      </c>
      <c r="I13" s="854">
        <f>IF(ISNUMBER(((NºAsuntos!I13/NºAsuntos!G13)-Datos!BE13)/Datos!BE13),((NºAsuntos!I13/NºAsuntos!G13)-Datos!BE13)/Datos!BE13," - ")</f>
        <v>-5.3467801722878468E-2</v>
      </c>
      <c r="J13" s="854">
        <f>IF(ISNUMBER((('Resol  Asuntos'!D13/NºAsuntos!G13)-Datos!BF13)/Datos!BF13),(('Resol  Asuntos'!D13/NºAsuntos!G13)-Datos!BF13)/Datos!BF13," - ")</f>
        <v>7.3215023057409789E-2</v>
      </c>
      <c r="K13" s="854">
        <f>IF(ISNUMBER((((NºAsuntos!C13+NºAsuntos!E13)/NºAsuntos!G13)-Datos!BG13)/Datos!BG13),(((NºAsuntos!C13+NºAsuntos!E13)/NºAsuntos!G13)-Datos!BG13)/Datos!BG13," - ")</f>
        <v>-2.8445957102070093E-2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0.54133635334088337</v>
      </c>
      <c r="C15" s="455">
        <f>IF(ISNUMBER(
   IF(D_I="SI",(Datos!J15-Datos!T15)/Datos!T15,(Datos!J15+Datos!AD15-(Datos!T15+Datos!AL15))/(Datos!T15+Datos!AL15))
     ),IF(D_I="SI",(Datos!J15-Datos!T15)/Datos!T15,(Datos!J15+Datos!AD15-(Datos!T15+Datos!AL15))/(Datos!T15+Datos!AL15))," - ")</f>
        <v>1.3283073056901813E-2</v>
      </c>
      <c r="D15" s="455">
        <f>IF(ISNUMBER(
   IF(D_I="SI",(Datos!K15-Datos!U15)/Datos!U15,(Datos!K15+Datos!AE15-(Datos!U15+Datos!AM15))/(Datos!U15+Datos!AM15))
     ),IF(D_I="SI",(Datos!K15-Datos!U15)/Datos!U15,(Datos!K15+Datos!AE15-(Datos!U15+Datos!AM15))/(Datos!U15+Datos!AM15))," - ")</f>
        <v>-5.1252184041933602E-2</v>
      </c>
      <c r="E15" s="455">
        <f>IF(ISNUMBER(
   IF(D_I="SI",(Datos!L15-Datos!V15)/Datos!V15,(Datos!L15+Datos!AF15-(Datos!V15+Datos!AN15))/(Datos!V15+Datos!AN15))
     ),IF(D_I="SI",(Datos!L15-Datos!V15)/Datos!V15,(Datos!L15+Datos!AF15-(Datos!V15+Datos!AN15))/(Datos!V15+Datos!AN15))," - ")</f>
        <v>0.54386266094420599</v>
      </c>
      <c r="F15" s="455">
        <f>IF(ISNUMBER((Datos!M15-Datos!W15)/Datos!W15),(Datos!M15-Datos!W15)/Datos!W15," - ")</f>
        <v>-2.7397260273972601E-2</v>
      </c>
      <c r="G15" s="456">
        <f>IF(ISNUMBER((Datos!N15-Datos!X15)/Datos!X15),(Datos!N15-Datos!X15)/Datos!X15," - ")</f>
        <v>-4.0558963871847306E-2</v>
      </c>
      <c r="H15" s="454">
        <f>IF(ISNUMBER(((NºAsuntos!G15/NºAsuntos!E15)-Datos!BD15)/Datos!BD15),((NºAsuntos!G15/NºAsuntos!E15)-Datos!BD15)/Datos!BD15," - ")</f>
        <v>-6.3689267900374186E-2</v>
      </c>
      <c r="I15" s="455">
        <f>IF(ISNUMBER(((NºAsuntos!I15/NºAsuntos!G15)-Datos!BE15)/Datos!BE15),((NºAsuntos!I15/NºAsuntos!G15)-Datos!BE15)/Datos!BE15," - ")</f>
        <v>0.62726346767415697</v>
      </c>
      <c r="J15" s="460">
        <f>IF(ISNUMBER((('Resol  Asuntos'!D15/NºAsuntos!G15)-Datos!BF15)/Datos!BF15),(('Resol  Asuntos'!D15/NºAsuntos!G15)-Datos!BF15)/Datos!BF15," - ")</f>
        <v>2.5143587544253491E-2</v>
      </c>
      <c r="K15" s="461">
        <f>IF(ISNUMBER((((NºAsuntos!C15+NºAsuntos!E15)/NºAsuntos!G15)-Datos!BG15)/Datos!BG15),(((NºAsuntos!C15+NºAsuntos!E15)/NºAsuntos!G15)-Datos!BG15)/Datos!BG15," - ")</f>
        <v>0.33932121253607822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0.92753623188405798</v>
      </c>
      <c r="C18" s="455">
        <f>IF(ISNUMBER(
   IF(D_I="SI",(Datos!J18-Datos!T18)/Datos!T18,(Datos!J18+Datos!AD18-(Datos!T18+Datos!AL18))/(Datos!T18+Datos!AL18))
     ),IF(D_I="SI",(Datos!J18-Datos!T18)/Datos!T18,(Datos!J18+Datos!AD18-(Datos!T18+Datos!AL18))/(Datos!T18+Datos!AL18))," - ")</f>
        <v>0.21380846325167038</v>
      </c>
      <c r="D18" s="455">
        <f>IF(ISNUMBER(
   IF(D_I="SI",(Datos!K18-Datos!U18)/Datos!U18,(Datos!K18+Datos!AE18-(Datos!U18+Datos!AM18))/(Datos!U18+Datos!AM18))
     ),IF(D_I="SI",(Datos!K18-Datos!U18)/Datos!U18,(Datos!K18+Datos!AE18-(Datos!U18+Datos!AM18))/(Datos!U18+Datos!AM18))," - ")</f>
        <v>0.10114942528735632</v>
      </c>
      <c r="E18" s="455">
        <f>IF(ISNUMBER(
   IF(D_I="SI",(Datos!L18-Datos!V18)/Datos!V18,(Datos!L18+Datos!AF18-(Datos!V18+Datos!AN18))/(Datos!V18+Datos!AN18))
     ),IF(D_I="SI",(Datos!L18-Datos!V18)/Datos!V18,(Datos!L18+Datos!AF18-(Datos!V18+Datos!AN18))/(Datos!V18+Datos!AN18))," - ")</f>
        <v>1.1644736842105263</v>
      </c>
      <c r="F18" s="455">
        <f>IF(ISNUMBER((Datos!M18-Datos!W18)/Datos!W18),(Datos!M18-Datos!W18)/Datos!W18," - ")</f>
        <v>0.5</v>
      </c>
      <c r="G18" s="456">
        <f>IF(ISNUMBER((Datos!N18-Datos!X18)/Datos!X18),(Datos!N18-Datos!X18)/Datos!X18," - ")</f>
        <v>0.2762237762237762</v>
      </c>
      <c r="H18" s="454">
        <f>IF(ISNUMBER(((NºAsuntos!G18/NºAsuntos!E18)-Datos!BD18)/Datos!BD18),((NºAsuntos!G18/NºAsuntos!E18)-Datos!BD18)/Datos!BD18," - ")</f>
        <v>-9.281451017610462E-2</v>
      </c>
      <c r="I18" s="455">
        <f>IF(ISNUMBER(((NºAsuntos!I18/NºAsuntos!G18)-Datos!BE18)/Datos!BE18),((NºAsuntos!I18/NºAsuntos!G18)-Datos!BE18)/Datos!BE18," - ")</f>
        <v>0.96564937918909999</v>
      </c>
      <c r="J18" s="460">
        <f>IF(ISNUMBER((('Resol  Asuntos'!D18/NºAsuntos!G18)-Datos!BF18)/Datos!BF18),(('Resol  Asuntos'!D18/NºAsuntos!G18)-Datos!BF18)/Datos!BF18," - ")</f>
        <v>0.36221294363256795</v>
      </c>
      <c r="K18" s="461">
        <f>IF(ISNUMBER((((NºAsuntos!C18+NºAsuntos!E18)/NºAsuntos!G18)-Datos!BG18)/Datos!BG18),(((NºAsuntos!C18+NºAsuntos!E18)/NºAsuntos!G18)-Datos!BG18)/Datos!BG18," - ")</f>
        <v>0.25469017295401752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0.55114054451802796</v>
      </c>
      <c r="C19" s="852">
        <f>IF(ISNUMBER(
   IF(Criterios!B14="SI",(Datos!J19-Datos!T19)/Datos!T19,(Datos!J19+Datos!AD19-(Datos!T19+Datos!AL19))/(Datos!T19+Datos!AL19))
     ),IF(Criterios!B14="SI",(Datos!J19-Datos!T19)/Datos!T19,(Datos!J19+Datos!AD19-(Datos!T19+Datos!AL19))/(Datos!T19+Datos!AL19))," - ")</f>
        <v>2.823920265780731E-2</v>
      </c>
      <c r="D19" s="852">
        <f>IF(ISNUMBER(
   IF(Criterios!B14="SI",(Datos!K19-Datos!U19)/Datos!U19,(Datos!K19+Datos!AE19-(Datos!U19+Datos!AM19))/(Datos!U19+Datos!AM19))
     ),IF(Criterios!B14="SI",(Datos!K19-Datos!U19)/Datos!U19,(Datos!K19+Datos!AE19-(Datos!U19+Datos!AM19))/(Datos!U19+Datos!AM19))," - ")</f>
        <v>-3.9384174722520586E-2</v>
      </c>
      <c r="E19" s="852">
        <f>IF(ISNUMBER(
   IF(Criterios!B14="SI",(Datos!L19-Datos!V19)/Datos!V19,(Datos!L19+Datos!AF19-(Datos!V19+Datos!AN19))/(Datos!V19+Datos!AN19))
     ),IF(Criterios!B14="SI",(Datos!L19-Datos!V19)/Datos!V19,(Datos!L19+Datos!AF19-(Datos!V19+Datos!AN19))/(Datos!V19+Datos!AN19))," - ")</f>
        <v>0.55964530701020576</v>
      </c>
      <c r="F19" s="853">
        <f>IF(ISNUMBER((Datos!M19-Datos!W19)/Datos!W19),(Datos!M19-Datos!W19)/Datos!W19," - ")</f>
        <v>-1.0309278350515464E-2</v>
      </c>
      <c r="G19" s="854">
        <f>IF(ISNUMBER((Datos!N19-Datos!X19)/Datos!X19),(Datos!N19-Datos!X19)/Datos!X19," - ")</f>
        <v>-1.2422360248447204E-2</v>
      </c>
      <c r="H19" s="854">
        <f>IF(ISNUMBER(((NºAsuntos!G19/NºAsuntos!E19)-Datos!BD19)/Datos!BD19),((NºAsuntos!G19/NºAsuntos!E19)-Datos!BD19)/Datos!BD19," - ")</f>
        <v>-6.5766192541126645E-2</v>
      </c>
      <c r="I19" s="854">
        <f>IF(ISNUMBER(((NºAsuntos!I19/NºAsuntos!G19)-Datos!BE19)/Datos!BE19),((NºAsuntos!I19/NºAsuntos!G19)-Datos!BE19)/Datos!BE19," - ")</f>
        <v>0.62358902067816036</v>
      </c>
      <c r="J19" s="854">
        <f>IF(ISNUMBER((('Resol  Asuntos'!D19/NºAsuntos!G19)-Datos!BF19)/Datos!BF19),(('Resol  Asuntos'!D19/NºAsuntos!G19)-Datos!BF19)/Datos!BF19," - ")</f>
        <v>3.0266934613123561E-2</v>
      </c>
      <c r="K19" s="854">
        <f>IF(ISNUMBER((((NºAsuntos!C19+NºAsuntos!E19)/NºAsuntos!G19)-Datos!BG19)/Datos!BG19),(((NºAsuntos!C19+NºAsuntos!E19)/NºAsuntos!G19)-Datos!BG19)/Datos!BG19," - ")</f>
        <v>0.32869113568360275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-2.3400519163231027E-2</v>
      </c>
      <c r="C20" s="799">
        <f>IF(ISNUMBER(
   IF(J_V="SI",(Datos!J20-Datos!T20)/Datos!T20,(Datos!J20+Datos!Z20-(Datos!T20+Datos!AH20))/(Datos!T20+Datos!AH20))
     ),IF(J_V="SI",(Datos!J20-Datos!T20)/Datos!T20,(Datos!J20+Datos!Z20-(Datos!T20+Datos!AH20))/(Datos!T20+Datos!AH20))," - ")</f>
        <v>-8.8166601790579988E-2</v>
      </c>
      <c r="D20" s="799">
        <f>IF(ISNUMBER(
   IF(J_V="SI",(Datos!K20-Datos!U20)/Datos!U20,(Datos!K20+Datos!AA20-(Datos!U20+Datos!AI20))/(Datos!U20+Datos!AI20))
     ),IF(J_V="SI",(Datos!K20-Datos!U20)/Datos!U20,(Datos!K20+Datos!AA20-(Datos!U20+Datos!AI20))/(Datos!U20+Datos!AI20))," - ")</f>
        <v>-0.10455147417578588</v>
      </c>
      <c r="E20" s="799">
        <f>IF(ISNUMBER(
   IF(J_V="SI",(Datos!L20-Datos!V20)/Datos!V20,(Datos!L20+Datos!AB20-(Datos!V20+Datos!AJ20))/(Datos!V20+Datos!AJ20))
     ),IF(J_V="SI",(Datos!L20-Datos!V20)/Datos!V20,(Datos!L20+Datos!AB20-(Datos!V20+Datos!AJ20))/(Datos!V20+Datos!AJ20))," - ")</f>
        <v>-2.9453218170647971E-2</v>
      </c>
      <c r="F20" s="800">
        <f>IF(ISNUMBER((Datos!M20-Datos!W20)/Datos!W20),(Datos!M20-Datos!W20)/Datos!W20," - ")</f>
        <v>0.11044776119402985</v>
      </c>
      <c r="G20" s="801">
        <f>IF(ISNUMBER((Datos!N20-Datos!X20)/Datos!X20),(Datos!N20-Datos!X20)/Datos!X20," - ")</f>
        <v>-0.13176757663565655</v>
      </c>
      <c r="H20" s="802">
        <f>IF(ISNUMBER((Tasas!B20-Datos!BD20)/Datos!BD20),(Tasas!B20-Datos!BD20)/Datos!BD20," - ")</f>
        <v>-1.7969151401320691E-2</v>
      </c>
      <c r="I20" s="803">
        <f>IF(ISNUMBER((Tasas!C20-Datos!BE20)/Datos!BE20),(Tasas!C20-Datos!BE20)/Datos!BE20," - ")</f>
        <v>8.3866636483670376E-2</v>
      </c>
      <c r="J20" s="804">
        <f>IF(ISNUMBER((Tasas!D20-Datos!BF20)/Datos!BF20),(Tasas!D20-Datos!BF20)/Datos!BF20," - ")</f>
        <v>3.7289050708875844E-2</v>
      </c>
      <c r="K20" s="804">
        <f>IF(ISNUMBER((Tasas!E20-Datos!BG20)/Datos!BG20),(Tasas!E20-Datos!BG20)/Datos!BG20," - ")</f>
        <v>6.3832837723521219E-2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7HyyYC7U2vcUyXadPOog4i/K9w1GxIhlOMgqnqAZOCrwgppLBiKqSNTX1euooxiYbLcmchGewGs6ycxj8AAag==" saltValue="bX9Wyw+Im+WjNF1PEO+nu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VALLADOLID</v>
      </c>
    </row>
    <row r="4" spans="1:7" ht="11.25" customHeight="1" thickBot="1">
      <c r="B4" s="390" t="str">
        <f>Criterios!A11 &amp;"  "&amp;Criterios!B11</f>
        <v>Resumenes por Partidos Judiciales  VALLADOLID</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0.94663406214039125</v>
      </c>
      <c r="C9" s="442">
        <f>IF(ISNUMBER(NºAsuntos!I9/NºAsuntos!G9),NºAsuntos!I9/NºAsuntos!G9," - ")</f>
        <v>2.4920224889834373</v>
      </c>
      <c r="D9" s="443">
        <f>IF(ISNUMBER('Resol  Asuntos'!D9/NºAsuntos!G9),'Resol  Asuntos'!D9/NºAsuntos!G9," - ")</f>
        <v>0.42744263789697612</v>
      </c>
      <c r="E9" s="444">
        <f>IF(ISNUMBER((NºAsuntos!C9+NºAsuntos!E9)/NºAsuntos!G9),(NºAsuntos!C9+NºAsuntos!E9)/NºAsuntos!G9," - ")</f>
        <v>3.4921744415742286</v>
      </c>
      <c r="G9" s="462"/>
    </row>
    <row r="10" spans="1:7" ht="21">
      <c r="A10" s="401" t="str">
        <f>Datos!A10</f>
        <v>Sección De Violencia sobre la Mujer del TI</v>
      </c>
      <c r="B10" s="441">
        <f>IF(ISNUMBER(NºAsuntos!G10/NºAsuntos!E10),NºAsuntos!G10/NºAsuntos!E10," - ")</f>
        <v>0.87012987012987009</v>
      </c>
      <c r="C10" s="442">
        <f>IF(ISNUMBER(NºAsuntos!I10/NºAsuntos!G10),NºAsuntos!I10/NºAsuntos!G10," - ")</f>
        <v>2.1641791044776117</v>
      </c>
      <c r="D10" s="443">
        <f>IF(ISNUMBER('Resol  Asuntos'!D10/NºAsuntos!G10),'Resol  Asuntos'!D10/NºAsuntos!G10," - ")</f>
        <v>0.37313432835820898</v>
      </c>
      <c r="E10" s="444">
        <f>IF(ISNUMBER((NºAsuntos!C10+NºAsuntos!E10)/NºAsuntos!G10),(NºAsuntos!C10+NºAsuntos!E10)/NºAsuntos!G10," - ")</f>
        <v>3.1641791044776117</v>
      </c>
      <c r="G10" s="462"/>
    </row>
    <row r="11" spans="1:7" ht="21">
      <c r="A11" s="401" t="str">
        <f>Datos!A11</f>
        <v xml:space="preserve">Sección de Familia, infancia y capacidad del TI                           </v>
      </c>
      <c r="B11" s="441">
        <f>IF(ISNUMBER(NºAsuntos!G11/NºAsuntos!E11),NºAsuntos!G11/NºAsuntos!E11," - ")</f>
        <v>0.99641148325358853</v>
      </c>
      <c r="C11" s="442">
        <f>IF(ISNUMBER(NºAsuntos!I11/NºAsuntos!G11),NºAsuntos!I11/NºAsuntos!G11," - ")</f>
        <v>1.1872749099639857</v>
      </c>
      <c r="D11" s="443">
        <f>IF(ISNUMBER('Resol  Asuntos'!D11/NºAsuntos!G11),'Resol  Asuntos'!D11/NºAsuntos!G11," - ")</f>
        <v>0.25210084033613445</v>
      </c>
      <c r="E11" s="444">
        <f>IF(ISNUMBER((NºAsuntos!C11+NºAsuntos!E11)/NºAsuntos!G11),(NºAsuntos!C11+NºAsuntos!E11)/NºAsuntos!G11," - ")</f>
        <v>2.1872749099639854</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0.95117609663064207</v>
      </c>
      <c r="C13" s="856">
        <f>IF(ISNUMBER(NºAsuntos!I13/NºAsuntos!G13),NºAsuntos!I13/NºAsuntos!G13," - ")</f>
        <v>2.3438043042374015</v>
      </c>
      <c r="D13" s="857">
        <f>IF(ISNUMBER('Resol  Asuntos'!D13/NºAsuntos!G13),'Resol  Asuntos'!D13/NºAsuntos!G13," - ")</f>
        <v>0.40743216147573852</v>
      </c>
      <c r="E13" s="858">
        <f>IF(ISNUMBER((NºAsuntos!C13+NºAsuntos!E13)/NºAsuntos!G13),(NºAsuntos!C13+NºAsuntos!E13)/NºAsuntos!G13," - ")</f>
        <v>3.3439379762063894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0.86572187776793619</v>
      </c>
      <c r="C15" s="442">
        <f>IF(ISNUMBER(NºAsuntos!I15/NºAsuntos!G15),NºAsuntos!I15/NºAsuntos!G15," - ")</f>
        <v>1.8401882545528954</v>
      </c>
      <c r="D15" s="443">
        <f>IF(ISNUMBER('Resol  Asuntos'!D15/NºAsuntos!G15),'Resol  Asuntos'!D15/NºAsuntos!G15," - ")</f>
        <v>0.13075506445672191</v>
      </c>
      <c r="E15" s="444">
        <f>IF(ISNUMBER((NºAsuntos!C15+NºAsuntos!E15)/NºAsuntos!G15),(NºAsuntos!C15+NºAsuntos!E15)/NºAsuntos!G15," - ")</f>
        <v>2.8260691630857377</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0.87889908256880733</v>
      </c>
      <c r="C18" s="442">
        <f>IF(ISNUMBER(NºAsuntos!I18/NºAsuntos!G18),NºAsuntos!I18/NºAsuntos!G18," - ")</f>
        <v>0.68684759916492688</v>
      </c>
      <c r="D18" s="443">
        <f>IF(ISNUMBER('Resol  Asuntos'!D18/NºAsuntos!G18),'Resol  Asuntos'!D18/NºAsuntos!G18," - ")</f>
        <v>6.889352818371608E-2</v>
      </c>
      <c r="E18" s="444">
        <f>IF(ISNUMBER((NºAsuntos!C18+NºAsuntos!E18)/NºAsuntos!G18),(NºAsuntos!C18+NºAsuntos!E18)/NºAsuntos!G18," - ")</f>
        <v>1.6931106471816284</v>
      </c>
      <c r="G18" s="462"/>
    </row>
    <row r="19" spans="1:7" ht="14.25" thickTop="1" thickBot="1">
      <c r="A19" s="845" t="str">
        <f>Datos!A19</f>
        <v>TOTAL</v>
      </c>
      <c r="B19" s="855">
        <f>IF(ISNUMBER(NºAsuntos!G19/NºAsuntos!E19),NºAsuntos!G19/NºAsuntos!E19," - ")</f>
        <v>0.86688206785137323</v>
      </c>
      <c r="C19" s="856">
        <f>IF(ISNUMBER(NºAsuntos!I19/NºAsuntos!G19),NºAsuntos!I19/NºAsuntos!G19," - ")</f>
        <v>1.7372344390607528</v>
      </c>
      <c r="D19" s="859">
        <f>IF(ISNUMBER('Resol  Asuntos'!D19/NºAsuntos!G19),'Resol  Asuntos'!D19/NºAsuntos!G19," - ")</f>
        <v>0.12523294819232203</v>
      </c>
      <c r="E19" s="858">
        <f>IF(ISNUMBER((NºAsuntos!C19+NºAsuntos!E19)/NºAsuntos!G19),(NºAsuntos!C19+NºAsuntos!E19)/NºAsuntos!G19," - ")</f>
        <v>2.7249347745061496</v>
      </c>
      <c r="G19" s="462"/>
    </row>
    <row r="20" spans="1:7" ht="15.75" customHeight="1" thickTop="1" thickBot="1">
      <c r="A20" s="790" t="str">
        <f>Datos!A20</f>
        <v>TOTAL JURISDICCIONES</v>
      </c>
      <c r="B20" s="805">
        <f>IF(ISNUMBER(NºAsuntos!G20/NºAsuntos!E20),NºAsuntos!G20/NºAsuntos!E20," - ")</f>
        <v>0.91405193881181079</v>
      </c>
      <c r="C20" s="806">
        <f>IF(ISNUMBER(NºAsuntos!I20/NºAsuntos!G20),NºAsuntos!I20/NºAsuntos!G20," - ")</f>
        <v>2.0904491320930956</v>
      </c>
      <c r="D20" s="807">
        <f>IF(ISNUMBER('Resol  Asuntos'!D20/NºAsuntos!G20),'Resol  Asuntos'!D20/NºAsuntos!G20," - ")</f>
        <v>0.28956176539269868</v>
      </c>
      <c r="E20" s="808">
        <f>IF(ISNUMBER((NºAsuntos!C20+NºAsuntos!E20)/NºAsuntos!G20),(NºAsuntos!C20+NºAsuntos!E20)/NºAsuntos!G20," - ")</f>
        <v>3.0853895851171478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aM8cWCd5gn/1a8mJw+cKzUW1EZonni1A1Q2TcZjfoB++dU7lj8ogPENvz5DWc/uq7miC2frS5znfRTilFlxng==" saltValue="SvdYCh0yjcBnyQLqjD7m7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VALLADOLID</v>
      </c>
      <c r="N2" s="261" t="str">
        <f>Criterios!A11 &amp;"  "&amp;Criterios!B11</f>
        <v>Resumenes por Partidos Judiciales  VALLADOLID</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12</v>
      </c>
      <c r="B9" s="176" t="s">
        <v>247</v>
      </c>
      <c r="C9" s="159" t="str">
        <f>Datos!A9</f>
        <v>Sección Civil del T.I</v>
      </c>
      <c r="D9" s="159"/>
      <c r="E9" s="1020">
        <f>IF(ISNUMBER(Datos!AQ9),Datos!AQ9," - ")</f>
        <v>12</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1710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1546</v>
      </c>
      <c r="Y9" s="333">
        <f>SUM(W9:X9)</f>
        <v>1546</v>
      </c>
      <c r="Z9" s="334" t="str">
        <f>IF(ISNUMBER(Datos!CC9),Datos!CC9," - ")</f>
        <v xml:space="preserve"> - </v>
      </c>
      <c r="AA9" s="331" t="str">
        <f>IF(ISNUMBER(IF(J_V="SI",Datos!L9,Datos!L9+Datos!AB9)-IF(Monitorios="SI",Datos!CD9,0)),
                          IF(J_V="SI",Datos!L9,Datos!L9+Datos!AB9)-IF(Monitorios="SI",Datos!CD9,0),
                          " - ")</f>
        <v xml:space="preserve"> - </v>
      </c>
      <c r="AB9" s="333">
        <f>IF(ISNUMBER(Datos!R9),Datos!R9," - ")</f>
        <v>26194</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2813</v>
      </c>
      <c r="AJ9" s="228" t="str">
        <f>IF(ISNUMBER(Datos!BW9),Datos!BW9," - ")</f>
        <v xml:space="preserve"> - </v>
      </c>
      <c r="AK9" s="227" t="str">
        <f>IF(ISNUMBER(Datos!BX9),Datos!BX9," - ")</f>
        <v xml:space="preserve"> - </v>
      </c>
      <c r="AL9" s="242">
        <f>IF(ISNUMBER(NºAsuntos!G9/NºAsuntos!E9),NºAsuntos!G9/NºAsuntos!E9," - ")</f>
        <v>0.94663406214039125</v>
      </c>
      <c r="AM9" s="259">
        <f>IF(ISNUMBER(((NºAsuntos!I9/NºAsuntos!G9)*11)/factor_trimestre),((NºAsuntos!I9/NºAsuntos!G9)*11)/factor_trimestre," - ")</f>
        <v>7.4760674669503118</v>
      </c>
      <c r="AN9" s="243">
        <f>IF(ISNUMBER('Resol  Asuntos'!D9/NºAsuntos!G9),'Resol  Asuntos'!D9/NºAsuntos!G9," - ")</f>
        <v>0.42744263789697612</v>
      </c>
      <c r="AO9" s="244">
        <f>IF(ISNUMBER((NºAsuntos!C9+NºAsuntos!E9)/NºAsuntos!G9),(NºAsuntos!C9+NºAsuntos!E9)/NºAsuntos!G9," - ")</f>
        <v>3.4921744415742286</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135</v>
      </c>
      <c r="G10" s="332">
        <f>IF(ISNUMBER(Datos!I10),Datos!I10," - ")</f>
        <v>135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67</v>
      </c>
      <c r="X10" s="225">
        <f>IF(ISNUMBER(Datos!Q10),Datos!Q10," - ")</f>
        <v>5</v>
      </c>
      <c r="Y10" s="333">
        <f t="shared" ref="Y10:Y12" si="0">SUM(W10:X10)</f>
        <v>72</v>
      </c>
      <c r="Z10" s="334" t="str">
        <f>IF(ISNUMBER(Datos!CC10),Datos!CC10," - ")</f>
        <v xml:space="preserve"> - </v>
      </c>
      <c r="AA10" s="331">
        <f>IF(ISNUMBER(Datos!L10),Datos!L10,"-")</f>
        <v>145</v>
      </c>
      <c r="AB10" s="333">
        <f>IF(ISNUMBER(Datos!R10),Datos!R10," - ")</f>
        <v>114</v>
      </c>
      <c r="AC10" s="333">
        <f t="shared" ref="AC10:AC12" si="1">IF(ISNUMBER(AA10+AB10),AA10+AB10," - ")</f>
        <v>259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25</v>
      </c>
      <c r="AJ10" s="230" t="str">
        <f>IF(ISNUMBER(Datos!BW10),Datos!BW10," - ")</f>
        <v xml:space="preserve"> - </v>
      </c>
      <c r="AK10" s="231" t="str">
        <f>IF(ISNUMBER(Datos!BX10),Datos!BX10," - ")</f>
        <v xml:space="preserve"> - </v>
      </c>
      <c r="AL10" s="242">
        <f>IF(ISNUMBER(NºAsuntos!G10/NºAsuntos!E10),NºAsuntos!G10/NºAsuntos!E10," - ")</f>
        <v>0.87012987012987009</v>
      </c>
      <c r="AM10" s="259">
        <f>IF(ISNUMBER(((NºAsuntos!I10/NºAsuntos!G10)*11)/factor_trimestre),((NºAsuntos!I10/NºAsuntos!G10)*11)/factor_trimestre," - ")</f>
        <v>6.4925373134328348</v>
      </c>
      <c r="AN10" s="243">
        <f>IF(ISNUMBER('Resol  Asuntos'!D10/NºAsuntos!G10),'Resol  Asuntos'!D10/NºAsuntos!G10," - ")</f>
        <v>0.37313432835820898</v>
      </c>
      <c r="AO10" s="244">
        <f>IF(ISNUMBER((NºAsuntos!C10+NºAsuntos!E10)/NºAsuntos!G10),(NºAsuntos!C10+NºAsuntos!E10)/NºAsuntos!G10," - ")</f>
        <v>3.1641791044776117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3</v>
      </c>
      <c r="B11" s="274" t="s">
        <v>247</v>
      </c>
      <c r="C11" s="7" t="str">
        <f>Datos!A11</f>
        <v xml:space="preserve">Sección de Familia, infancia y capacidad del TI                           </v>
      </c>
      <c r="D11" s="7"/>
      <c r="E11" s="1020">
        <f>IF(ISNUMBER(Datos!AQ11),Datos!AQ11," - ")</f>
        <v>3</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91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110</v>
      </c>
      <c r="Y11" s="333">
        <f t="shared" si="0"/>
        <v>110</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922</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210</v>
      </c>
      <c r="AJ11" s="230" t="str">
        <f>IF(ISNUMBER(Datos!BW11),Datos!BW11," - ")</f>
        <v xml:space="preserve"> - </v>
      </c>
      <c r="AK11" s="231" t="str">
        <f>IF(ISNUMBER(Datos!BX11),Datos!BX11," - ")</f>
        <v xml:space="preserve"> - </v>
      </c>
      <c r="AL11" s="242">
        <f>IF(ISNUMBER(NºAsuntos!G11/NºAsuntos!E11),NºAsuntos!G11/NºAsuntos!E11," - ")</f>
        <v>0.99641148325358853</v>
      </c>
      <c r="AM11" s="259">
        <f>IF(ISNUMBER(((NºAsuntos!I11/NºAsuntos!G11)*11)/factor_trimestre),((NºAsuntos!I11/NºAsuntos!G11)*11)/factor_trimestre," - ")</f>
        <v>3.5618247298919568</v>
      </c>
      <c r="AN11" s="243">
        <f>IF(ISNUMBER('Resol  Asuntos'!D11/NºAsuntos!G11),'Resol  Asuntos'!D11/NºAsuntos!G11," - ")</f>
        <v>0.25210084033613445</v>
      </c>
      <c r="AO11" s="244">
        <f>IF(ISNUMBER((NºAsuntos!C11+NºAsuntos!E11)/NºAsuntos!G11),(NºAsuntos!C11+NºAsuntos!E11)/NºAsuntos!G11," - ")</f>
        <v>2.1872749099639854</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17</v>
      </c>
      <c r="F13" s="862">
        <f t="shared" si="3"/>
        <v>135</v>
      </c>
      <c r="G13" s="863">
        <f t="shared" si="3"/>
        <v>135</v>
      </c>
      <c r="H13" s="862">
        <f t="shared" si="3"/>
        <v>0</v>
      </c>
      <c r="I13" s="864">
        <f t="shared" si="3"/>
        <v>0</v>
      </c>
      <c r="J13" s="864">
        <f t="shared" si="3"/>
        <v>0</v>
      </c>
      <c r="K13" s="864">
        <f t="shared" si="3"/>
        <v>0</v>
      </c>
      <c r="L13" s="864">
        <f t="shared" si="3"/>
        <v>1811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67</v>
      </c>
      <c r="X13" s="864">
        <f t="shared" si="4"/>
        <v>1661</v>
      </c>
      <c r="Y13" s="865">
        <f t="shared" si="4"/>
        <v>1728</v>
      </c>
      <c r="Z13" s="865">
        <f t="shared" si="4"/>
        <v>0</v>
      </c>
      <c r="AA13" s="865">
        <f t="shared" si="4"/>
        <v>145</v>
      </c>
      <c r="AB13" s="865">
        <f t="shared" si="4"/>
        <v>27230</v>
      </c>
      <c r="AC13" s="865">
        <f t="shared" si="4"/>
        <v>259</v>
      </c>
      <c r="AD13" s="865">
        <f t="shared" si="4"/>
        <v>0</v>
      </c>
      <c r="AE13" s="869">
        <f t="shared" si="4"/>
        <v>0</v>
      </c>
      <c r="AF13" s="862">
        <f t="shared" si="4"/>
        <v>0</v>
      </c>
      <c r="AG13" s="870">
        <f t="shared" si="4"/>
        <v>0</v>
      </c>
      <c r="AH13" s="867">
        <f t="shared" si="4"/>
        <v>0</v>
      </c>
      <c r="AI13" s="862">
        <f t="shared" si="4"/>
        <v>3048</v>
      </c>
      <c r="AJ13" s="864">
        <f t="shared" si="4"/>
        <v>0</v>
      </c>
      <c r="AK13" s="867">
        <f>SUBTOTAL(9,AK9:AK12)</f>
        <v>0</v>
      </c>
      <c r="AL13" s="871">
        <f>IF(ISNUMBER(NºAsuntos!G13/NºAsuntos!E13),NºAsuntos!G13/NºAsuntos!E13," - ")</f>
        <v>0.95117609663064207</v>
      </c>
      <c r="AM13" s="871">
        <f>IF(ISNUMBER(((NºAsuntos!I13/NºAsuntos!G13)*11)/factor_trimestre),((NºAsuntos!I13/NºAsuntos!G13)*11)/factor_trimestre," - ")</f>
        <v>7.0314129127122049</v>
      </c>
      <c r="AN13" s="872">
        <f>IF(ISNUMBER('Resol  Asuntos'!D13/NºAsuntos!G13),'Resol  Asuntos'!D13/NºAsuntos!G13," - ")</f>
        <v>0.40743216147573852</v>
      </c>
      <c r="AO13" s="873">
        <f>IF(ISNUMBER((NºAsuntos!C13+NºAsuntos!E13)/NºAsuntos!G13),(NºAsuntos!C13+NºAsuntos!E13)/NºAsuntos!G13," - ")</f>
        <v>3.3439379762063894</v>
      </c>
      <c r="AP13" s="874" t="str">
        <f t="shared" si="2"/>
        <v xml:space="preserve"> - </v>
      </c>
      <c r="AQ13" s="874">
        <f>IF(ISNUMBER((H13-W13+K13)/(F13)),(H13-W13+K13)/(F13)," - ")</f>
        <v>-0.49629629629629629</v>
      </c>
      <c r="AR13" s="875">
        <f>IF(ISNUMBER((Datos!P13-Datos!Q13)/(Datos!R13-Datos!P13+Datos!Q13)),(Datos!P13-Datos!Q13)/(Datos!R13-Datos!P13+Datos!Q13)," - ")</f>
        <v>5.539143279172821E-3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6</v>
      </c>
      <c r="B15" s="274" t="s">
        <v>397</v>
      </c>
      <c r="C15" s="159" t="str">
        <f>Datos!A15</f>
        <v xml:space="preserve">Seccion Instruccion Del T.I.                   </v>
      </c>
      <c r="D15" s="159"/>
      <c r="E15" s="1020">
        <f>IF(ISNUMBER(Datos!AQ15),Datos!AQ15," - ")</f>
        <v>6</v>
      </c>
      <c r="F15" s="224">
        <f>IF(ISNUMBER(AA15+W15-Datos!J15-K15),AA15+W15-Datos!J15-K15," - ")</f>
        <v>8235</v>
      </c>
      <c r="G15" s="332">
        <f>IF(ISNUMBER(IF(D_I="SI",Datos!I15,Datos!I15+Datos!AC15)),IF(D_I="SI",Datos!I15,Datos!I15+Datos!AC15)," - ")</f>
        <v>8166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272</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4887</v>
      </c>
      <c r="X15" s="225">
        <f>IF(ISNUMBER(Datos!Q15),Datos!Q15," - ")</f>
        <v>214</v>
      </c>
      <c r="Y15" s="333">
        <f>SUM(W15)</f>
        <v>4887</v>
      </c>
      <c r="Z15" s="334" t="str">
        <f>IF(ISNUMBER(Datos!CC15),Datos!CC15," - ")</f>
        <v xml:space="preserve"> - </v>
      </c>
      <c r="AA15" s="331">
        <f>IF(ISNUMBER(IF(D_I="SI",Datos!L15,Datos!L15+Datos!AF15)),IF(D_I="SI",Datos!L15,Datos!L15+Datos!AF15)," - ")</f>
        <v>8993</v>
      </c>
      <c r="AB15" s="333">
        <f>IF(ISNUMBER(Datos!R15),Datos!R15," - ")</f>
        <v>685</v>
      </c>
      <c r="AC15" s="333">
        <f t="shared" ref="AC15:AC18" si="6">IF(ISNUMBER(AA15+AB15),AA15+AB15," - ")</f>
        <v>9678</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639</v>
      </c>
      <c r="AJ15" s="230" t="str">
        <f>IF(ISNUMBER(Datos!BW15),Datos!BW15," - ")</f>
        <v xml:space="preserve"> - </v>
      </c>
      <c r="AK15" s="231" t="str">
        <f>IF(ISNUMBER(Datos!BX15),Datos!BX15," - ")</f>
        <v xml:space="preserve"> - </v>
      </c>
      <c r="AL15" s="242">
        <f>IF(ISNUMBER(NºAsuntos!G15/NºAsuntos!E15),NºAsuntos!G15/NºAsuntos!E15," - ")</f>
        <v>0.86572187776793619</v>
      </c>
      <c r="AM15" s="259">
        <f>IF(ISNUMBER(((NºAsuntos!I15/NºAsuntos!G15)*11)/factor_trimestre),((NºAsuntos!I15/NºAsuntos!G15)*11)/factor_trimestre," - ")</f>
        <v>5.5205647636586859</v>
      </c>
      <c r="AN15" s="243">
        <f>IF(ISNUMBER('Resol  Asuntos'!D15/NºAsuntos!G15),'Resol  Asuntos'!D15/NºAsuntos!G15," - ")</f>
        <v>0.13075506445672191</v>
      </c>
      <c r="AO15" s="244">
        <f>IF(ISNUMBER((NºAsuntos!C15+NºAsuntos!E15)/NºAsuntos!G15),(NºAsuntos!C15+NºAsuntos!E15)/NºAsuntos!G15," - ")</f>
        <v>2.8260691630857377</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266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479</v>
      </c>
      <c r="X18" s="225">
        <f>IF(ISNUMBER(Datos!Q18),Datos!Q18," - ")</f>
        <v>5</v>
      </c>
      <c r="Y18" s="333">
        <f t="shared" si="9"/>
        <v>484</v>
      </c>
      <c r="Z18" s="334" t="str">
        <f>IF(ISNUMBER(Datos!CC18),Datos!CC18," - ")</f>
        <v xml:space="preserve"> - </v>
      </c>
      <c r="AA18" s="331">
        <f>IF(ISNUMBER(Datos!L18),Datos!L18,"-")</f>
        <v>329</v>
      </c>
      <c r="AB18" s="333">
        <f>IF(ISNUMBER(Datos!R18),Datos!R18," - ")</f>
        <v>8</v>
      </c>
      <c r="AC18" s="333">
        <f t="shared" si="6"/>
        <v>337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33</v>
      </c>
      <c r="AJ18" s="230" t="str">
        <f>IF(ISNUMBER(Datos!BW18),Datos!BW18," - ")</f>
        <v xml:space="preserve"> - </v>
      </c>
      <c r="AK18" s="231" t="str">
        <f>IF(ISNUMBER(Datos!BX18),Datos!BX18," - ")</f>
        <v xml:space="preserve"> - </v>
      </c>
      <c r="AL18" s="242">
        <f>IF(ISNUMBER(NºAsuntos!G18/NºAsuntos!E18),NºAsuntos!G18/NºAsuntos!E18," - ")</f>
        <v>0.87889908256880733</v>
      </c>
      <c r="AM18" s="259">
        <f>IF(ISNUMBER(((NºAsuntos!I18/NºAsuntos!G18)*11)/factor_trimestre),((NºAsuntos!I18/NºAsuntos!G18)*11)/factor_trimestre," - ")</f>
        <v>2.0605427974947808</v>
      </c>
      <c r="AN18" s="243">
        <f>IF(ISNUMBER('Resol  Asuntos'!D18/NºAsuntos!G18),'Resol  Asuntos'!D18/NºAsuntos!G18," - ")</f>
        <v>6.889352818371608E-2</v>
      </c>
      <c r="AO18" s="244">
        <f>IF(ISNUMBER((NºAsuntos!C18+NºAsuntos!E18)/NºAsuntos!G18),(NºAsuntos!C18+NºAsuntos!E18)/NºAsuntos!G18," - ")</f>
        <v>1.6931106471816284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8235</v>
      </c>
      <c r="G19" s="863">
        <f>SUBTOTAL(9,G15:G18)</f>
        <v>8432</v>
      </c>
      <c r="H19" s="862">
        <f t="shared" ref="H19:O19" si="12">SUBTOTAL(9,H14:H18)</f>
        <v>0</v>
      </c>
      <c r="I19" s="864">
        <f t="shared" si="12"/>
        <v>0</v>
      </c>
      <c r="J19" s="864">
        <f t="shared" si="12"/>
        <v>0</v>
      </c>
      <c r="K19" s="864">
        <f t="shared" si="12"/>
        <v>0</v>
      </c>
      <c r="L19" s="864">
        <f t="shared" si="12"/>
        <v>276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5366</v>
      </c>
      <c r="X19" s="864">
        <f t="shared" si="13"/>
        <v>219</v>
      </c>
      <c r="Y19" s="865">
        <f t="shared" si="13"/>
        <v>5371</v>
      </c>
      <c r="Z19" s="865">
        <f t="shared" si="13"/>
        <v>0</v>
      </c>
      <c r="AA19" s="865">
        <f t="shared" si="13"/>
        <v>9322</v>
      </c>
      <c r="AB19" s="865">
        <f t="shared" si="13"/>
        <v>693</v>
      </c>
      <c r="AC19" s="865">
        <f t="shared" si="13"/>
        <v>10015</v>
      </c>
      <c r="AD19" s="865">
        <f t="shared" si="13"/>
        <v>0</v>
      </c>
      <c r="AE19" s="869">
        <f t="shared" si="13"/>
        <v>0</v>
      </c>
      <c r="AF19" s="862">
        <f t="shared" si="13"/>
        <v>0</v>
      </c>
      <c r="AG19" s="870">
        <f t="shared" si="13"/>
        <v>0</v>
      </c>
      <c r="AH19" s="867">
        <f t="shared" si="13"/>
        <v>0</v>
      </c>
      <c r="AI19" s="862">
        <f t="shared" si="13"/>
        <v>672</v>
      </c>
      <c r="AJ19" s="864">
        <f t="shared" si="13"/>
        <v>0</v>
      </c>
      <c r="AK19" s="867">
        <f t="shared" si="13"/>
        <v>0</v>
      </c>
      <c r="AL19" s="871">
        <f>IF(ISNUMBER(NºAsuntos!G19/NºAsuntos!E19),NºAsuntos!G19/NºAsuntos!E19," - ")</f>
        <v>0.86688206785137323</v>
      </c>
      <c r="AM19" s="871">
        <f>IF(ISNUMBER(((NºAsuntos!I19/NºAsuntos!G19)*11)/factor_trimestre),((NºAsuntos!I19/NºAsuntos!G19)*11)/factor_trimestre," - ")</f>
        <v>5.2117033171822582</v>
      </c>
      <c r="AN19" s="872">
        <f>IF(ISNUMBER('Resol  Asuntos'!D19/NºAsuntos!G19),'Resol  Asuntos'!D19/NºAsuntos!G19," - ")</f>
        <v>0.12523294819232203</v>
      </c>
      <c r="AO19" s="873">
        <f>IF(ISNUMBER((NºAsuntos!C19+NºAsuntos!E19)/NºAsuntos!G19),(NºAsuntos!C19+NºAsuntos!E19)/NºAsuntos!G19," - ")</f>
        <v>2.7249347745061496</v>
      </c>
      <c r="AP19" s="874" t="str">
        <f t="shared" si="2"/>
        <v xml:space="preserve"> - </v>
      </c>
      <c r="AQ19" s="874">
        <f>IF(ISNUMBER((H19-W19+K19)/(F19)),(H19-W19+K19)/(F19)," - ")</f>
        <v>-0.65160898603521555</v>
      </c>
      <c r="AR19" s="875">
        <f>IF(ISNUMBER((Datos!P19-Datos!Q19)/(Datos!R19-Datos!P19+Datos!Q19)),(Datos!P19-Datos!Q19)/(Datos!R19-Datos!P19+Datos!Q19)," - ")</f>
        <v>8.9622641509433956E-2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25</v>
      </c>
      <c r="F20" s="817">
        <f t="shared" si="15"/>
        <v>8370</v>
      </c>
      <c r="G20" s="818">
        <f t="shared" si="15"/>
        <v>8567</v>
      </c>
      <c r="H20" s="817">
        <f t="shared" si="15"/>
        <v>0</v>
      </c>
      <c r="I20" s="819">
        <f t="shared" si="15"/>
        <v>0</v>
      </c>
      <c r="J20" s="819">
        <f t="shared" si="15"/>
        <v>0</v>
      </c>
      <c r="K20" s="878">
        <f t="shared" si="15"/>
        <v>0</v>
      </c>
      <c r="L20" s="819">
        <f t="shared" si="15"/>
        <v>2087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5433</v>
      </c>
      <c r="X20" s="818">
        <f t="shared" si="16"/>
        <v>1880</v>
      </c>
      <c r="Y20" s="825">
        <f t="shared" si="16"/>
        <v>7099</v>
      </c>
      <c r="Z20" s="825">
        <f t="shared" si="16"/>
        <v>0</v>
      </c>
      <c r="AA20" s="825">
        <f t="shared" si="16"/>
        <v>9467</v>
      </c>
      <c r="AB20" s="825">
        <f t="shared" si="16"/>
        <v>27923</v>
      </c>
      <c r="AC20" s="825">
        <f t="shared" si="16"/>
        <v>10274</v>
      </c>
      <c r="AD20" s="825">
        <f t="shared" si="16"/>
        <v>0</v>
      </c>
      <c r="AE20" s="827">
        <f t="shared" si="16"/>
        <v>0</v>
      </c>
      <c r="AF20" s="828">
        <f t="shared" si="16"/>
        <v>0</v>
      </c>
      <c r="AG20" s="829">
        <f t="shared" si="16"/>
        <v>0</v>
      </c>
      <c r="AH20" s="827">
        <f t="shared" si="16"/>
        <v>0</v>
      </c>
      <c r="AI20" s="817">
        <f t="shared" si="16"/>
        <v>3720</v>
      </c>
      <c r="AJ20" s="817">
        <f t="shared" si="16"/>
        <v>0</v>
      </c>
      <c r="AK20" s="827">
        <f t="shared" si="16"/>
        <v>0</v>
      </c>
      <c r="AL20" s="881">
        <f>IF(ISNUMBER(NºAsuntos!G20/NºAsuntos!E20),NºAsuntos!G20/NºAsuntos!E20," - ")</f>
        <v>0.91405193881181079</v>
      </c>
      <c r="AM20" s="882">
        <f>IF(ISNUMBER(((NºAsuntos!I20/NºAsuntos!G20)*11)/factor_trimestre),((NºAsuntos!I20/NºAsuntos!G20)*11)/factor_trimestre," - ")</f>
        <v>6.2713473962792863</v>
      </c>
      <c r="AN20" s="882">
        <f>IF(ISNUMBER('Resol  Asuntos'!D20/NºAsuntos!G20),'Resol  Asuntos'!D20/NºAsuntos!G20," - ")</f>
        <v>0.28956176539269868</v>
      </c>
      <c r="AO20" s="883">
        <f>IF(ISNUMBER((NºAsuntos!C20+NºAsuntos!E20)/NºAsuntos!G20),(NºAsuntos!C20+NºAsuntos!E20)/NºAsuntos!G20," - ")</f>
        <v>3.0853895851171478</v>
      </c>
      <c r="AP20" s="884" t="str">
        <f t="shared" si="2"/>
        <v xml:space="preserve"> - </v>
      </c>
      <c r="AQ20" s="885">
        <f>IF(OR(ISNUMBER(FIND("01",Criterios!A8,1)),ISNUMBER(FIND("02",Criterios!A8,1)),ISNUMBER(FIND("03",Criterios!A8,1)),ISNUMBER(FIND("04",Criterios!A8,1))),(I20-W20+K20)/(F20-K20),(H20-W20+K20)/(F20-K20))</f>
        <v>-0.64910394265232974</v>
      </c>
      <c r="AR20" s="886">
        <f>IF(ISNUMBER((Datos!P20-Datos!Q20)/(Datos!R20-Datos!P20+Datos!Q20)),(Datos!P20-Datos!Q20)/(Datos!R20-Datos!P20+Datos!Q20)," - ")</f>
        <v>7.4686101890604701E-3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3426.8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5.7735026918962582</v>
      </c>
      <c r="F22" s="251">
        <f>IF(ISNUMBER(STDEV(F8:F19)),STDEV(F8:F19),"-")</f>
        <v>4676.5371804359684</v>
      </c>
      <c r="G22" s="252">
        <f>IF(ISNUMBER(STDEV(G8:G19)),STDEV(G8:G19),"-")</f>
        <v>4449.0053607519958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2706.5269627328676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1303.9257939739041</v>
      </c>
      <c r="AJ22" s="251">
        <f t="shared" si="20"/>
        <v>0</v>
      </c>
      <c r="AK22" s="253">
        <f t="shared" si="20"/>
        <v>0</v>
      </c>
      <c r="AL22" s="248">
        <f t="shared" si="20"/>
        <v>5.3034856246382184E-2</v>
      </c>
      <c r="AM22" s="249">
        <f t="shared" si="20"/>
        <v>1.945838416175556</v>
      </c>
      <c r="AN22" s="249">
        <f t="shared" si="20"/>
        <v>0.14935866366181005</v>
      </c>
      <c r="AO22" s="250">
        <f t="shared" si="20"/>
        <v>0.64685180407764731</v>
      </c>
      <c r="AP22" s="290" t="str">
        <f t="shared" si="20"/>
        <v>-</v>
      </c>
      <c r="AQ22" s="291">
        <f t="shared" si="20"/>
        <v>0.10982265611871182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XAbKRh3CrsH8DNcvQTeOyendagSX6pT8jT6KPi8QpAhjMRmFtnE17DEQ3hy4ly4fXREVRnKENoqMywnJg6RDdw==" saltValue="ck9FAAfwm0drSPECnhgvE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VALLADOLID</v>
      </c>
      <c r="E3" s="262"/>
    </row>
    <row r="4" spans="2:20" ht="17.25" customHeight="1" thickBot="1">
      <c r="D4" s="261" t="str">
        <f>Criterios!A11 &amp;"  "&amp;Criterios!B11</f>
        <v>Resumenes por Partidos Judiciales  VALLADOLID</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0.18892645815722739</v>
      </c>
      <c r="I9" s="349">
        <f>IF(ISNUMBER((Tasas!C9-Datos!BE9)/Datos!BE9),(Tasas!C9-Datos!BE9)/Datos!BE9," - ")</f>
        <v>-5.3825773290198317E-2</v>
      </c>
      <c r="J9" s="348">
        <f>IF(ISNUMBER((Tasas!D9-Datos!BF9)/Datos!BF9),(Tasas!D9-Datos!BF9)/Datos!BF9," - ")</f>
        <v>0.22501716894496515</v>
      </c>
      <c r="K9" s="350">
        <f>IF(ISNUMBER((Tasas!E9-Datos!BG9)/Datos!BG9),(Tasas!E9-Datos!BG9)/Datos!BG9," - ")</f>
        <v>-2.6190167497239038E-2</v>
      </c>
      <c r="M9" t="e">
        <f>IF(Monitorios="SI",Datos!CE9,0)</f>
        <v>#REF!</v>
      </c>
      <c r="N9" t="e">
        <f>IF(Monitorios="SI",Datos!CF9,0)</f>
        <v>#REF!</v>
      </c>
      <c r="O9" t="e">
        <f>IF(Monitorios="SI",Datos!CG9,0)</f>
        <v>#REF!</v>
      </c>
      <c r="P9" t="e">
        <f>IF(Monitorios="SI",Datos!CH9,0)</f>
        <v>#REF!</v>
      </c>
      <c r="Q9">
        <f>IF(J_V="SI",0,Datos!AG9)</f>
        <v>146</v>
      </c>
      <c r="R9">
        <f>IF(J_V="SI",0,Datos!AH9)</f>
        <v>223</v>
      </c>
      <c r="S9">
        <f>IF(J_V="SI",0,Datos!AI9)</f>
        <v>102</v>
      </c>
      <c r="T9">
        <f>IF(J_V="SI",0,Datos!AJ9)</f>
        <v>284</v>
      </c>
    </row>
    <row r="10" spans="2:20" ht="14.25">
      <c r="B10" s="274" t="s">
        <v>247</v>
      </c>
      <c r="C10" s="7" t="str">
        <f>Datos!A10</f>
        <v>Sección De Violencia sobre la Mujer del TI</v>
      </c>
      <c r="D10" s="351">
        <f>IF(ISNUMBER((Datos!I10-Datos!S10)/Datos!S10),(Datos!I10-Datos!S10)/Datos!S10," - ")</f>
        <v>-1.4598540145985401E-2</v>
      </c>
      <c r="E10" s="347">
        <f>IF(ISNUMBER((Datos!J10-Datos!T10)/Datos!T10),(Datos!J10-Datos!T10)/Datos!T10," - ")</f>
        <v>0.24193548387096775</v>
      </c>
      <c r="F10" s="347">
        <f>IF(ISNUMBER((Datos!K10-Datos!U10)/Datos!U10),(Datos!K10-Datos!U10)/Datos!U10," - ")</f>
        <v>-0.11842105263157894</v>
      </c>
      <c r="G10" s="348">
        <f>IF(ISNUMBER((Datos!L10-Datos!V10)/Datos!V10),(Datos!L10-Datos!V10)/Datos!V10," - ")</f>
        <v>0.17886178861788618</v>
      </c>
      <c r="H10" s="229">
        <f>IF(ISNUMBER((Datos!M10-Datos!W10)/Datos!W10),(Datos!M10-Datos!W10)/Datos!W10," - ")</f>
        <v>-3.8461538461538464E-2</v>
      </c>
      <c r="I10" s="349">
        <f>IF(ISNUMBER((Tasas!C10-Datos!BE10)/Datos!BE10),(Tasas!C10-Datos!BE10)/Datos!BE10," - ")</f>
        <v>0.33721635723819909</v>
      </c>
      <c r="J10" s="348">
        <f>IF(ISNUMBER((Tasas!D10-Datos!BF10)/Datos!BF10),(Tasas!D10-Datos!BF10)/Datos!BF10," - ")</f>
        <v>9.0700344431687757E-2</v>
      </c>
      <c r="K10" s="350">
        <f>IF(ISNUMBER((Tasas!E10-Datos!BG10)/Datos!BG10),(Tasas!E10-Datos!BG10)/Datos!BG10," - ")</f>
        <v>0.20843021075526891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-0.24731182795698925</v>
      </c>
      <c r="I11" s="349">
        <f>IF(ISNUMBER((Tasas!C11-Datos!BE11)/Datos!BE11),(Tasas!C11-Datos!BE11)/Datos!BE11," - ")</f>
        <v>-9.8617974797280863E-2</v>
      </c>
      <c r="J11" s="348">
        <f>IF(ISNUMBER((Tasas!D11-Datos!BF11)/Datos!BF11),(Tasas!D11-Datos!BF11)/Datos!BF11," - ")</f>
        <v>-0.5941791350686616</v>
      </c>
      <c r="K11" s="350">
        <f>IF(ISNUMBER((Tasas!E11-Datos!BG11)/Datos!BG11),(Tasas!E11-Datos!BG11)/Datos!BG11," - ")</f>
        <v>-8.2456711498158572E-2</v>
      </c>
      <c r="M11" t="e">
        <f>IF(Monitorios="SI",Datos!CE11,0)</f>
        <v>#REF!</v>
      </c>
      <c r="N11" t="e">
        <f>IF(Monitorios="SI",Datos!CF11,0)</f>
        <v>#REF!</v>
      </c>
      <c r="O11" t="e">
        <f>IF(Monitorios="SI",Datos!CG11,0)</f>
        <v>#REF!</v>
      </c>
      <c r="P11" t="e">
        <f>IF(Monitorios="SI",Datos!CH11,0)</f>
        <v>#REF!</v>
      </c>
      <c r="Q11">
        <f>IF(J_V="SI",0,Datos!AG11)</f>
        <v>234</v>
      </c>
      <c r="R11">
        <f>IF(J_V="SI",0,Datos!AH11)</f>
        <v>358</v>
      </c>
      <c r="S11">
        <f>IF(J_V="SI",0,Datos!AI11)</f>
        <v>346</v>
      </c>
      <c r="T11">
        <f>IF(J_V="SI",0,Datos!AJ11)</f>
        <v>176</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0.14114563833770125</v>
      </c>
      <c r="I13" s="356">
        <f>IF(ISNUMBER((Tasas!C13-Datos!BE13)/Datos!BE13),(Tasas!C13-Datos!BE13)/Datos!BE13," - ")</f>
        <v>-5.3467801722878468E-2</v>
      </c>
      <c r="J13" s="354">
        <f>IF(ISNUMBER((Tasas!D13-Datos!BF13)/Datos!BF13),(Tasas!D13-Datos!BF13)/Datos!BF13," - ")</f>
        <v>7.3215023057409789E-2</v>
      </c>
      <c r="K13" s="357">
        <f>IF(ISNUMBER((Tasas!E13-Datos!BG13)/Datos!BG13),(Tasas!E13-Datos!BG13)/Datos!BG13," - ")</f>
        <v>-2.8445957102070093E-2</v>
      </c>
      <c r="M13" t="e">
        <f>IF(Monitorios="SI",Datos!CE13,0)</f>
        <v>#REF!</v>
      </c>
      <c r="N13" t="e">
        <f>IF(Monitorios="SI",Datos!CF13,0)</f>
        <v>#REF!</v>
      </c>
      <c r="O13" t="e">
        <f>IF(Monitorios="SI",Datos!CG13,0)</f>
        <v>#REF!</v>
      </c>
      <c r="P13" t="e">
        <f>IF(Monitorios="SI",Datos!CH13,0)</f>
        <v>#REF!</v>
      </c>
      <c r="Q13">
        <f>IF(J_V="SI",0,Datos!AG13)</f>
        <v>380</v>
      </c>
      <c r="R13">
        <f>IF(J_V="SI",0,Datos!AH13)</f>
        <v>581</v>
      </c>
      <c r="S13">
        <f>IF(J_V="SI",0,Datos!AI13)</f>
        <v>448</v>
      </c>
      <c r="T13">
        <f>IF(J_V="SI",0,Datos!AJ13)</f>
        <v>460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0.54133635334088337</v>
      </c>
      <c r="E15" s="347">
        <f>IF(ISNUMBER(
   IF(D_I="SI",(Datos!J15-Datos!T15)/Datos!T15,(Datos!J15+Datos!AD15-(Datos!T15+Datos!AL15))/(Datos!T15+Datos!AL15))
     ),IF(D_I="SI",(Datos!J15-Datos!T15)/Datos!T15,(Datos!J15+Datos!AD15-(Datos!T15+Datos!AL15))/(Datos!T15+Datos!AL15))," - ")</f>
        <v>1.3283073056901813E-2</v>
      </c>
      <c r="F15" s="347">
        <f>IF(ISNUMBER(
   IF(D_I="SI",(Datos!K15-Datos!U15)/Datos!U15,(Datos!K15+Datos!AE15-(Datos!U15+Datos!AM15))/(Datos!U15+Datos!AM15))
     ),IF(D_I="SI",(Datos!K15-Datos!U15)/Datos!U15,(Datos!K15+Datos!AE15-(Datos!U15+Datos!AM15))/(Datos!U15+Datos!AM15))," - ")</f>
        <v>-5.1252184041933602E-2</v>
      </c>
      <c r="G15" s="348">
        <f>IF(ISNUMBER(
   IF(D_I="SI",(Datos!L15-Datos!V15)/Datos!V15,(Datos!L15+Datos!AF15-(Datos!V15+Datos!AN15))/(Datos!V15+Datos!AN15))
     ),IF(D_I="SI",(Datos!L15-Datos!V15)/Datos!V15,(Datos!L15+Datos!AF15-(Datos!V15+Datos!AN15))/(Datos!V15+Datos!AN15))," - ")</f>
        <v>0.54386266094420599</v>
      </c>
      <c r="H15" s="229">
        <f>IF(ISNUMBER((Datos!M15-Datos!W15)/Datos!W15),(Datos!M15-Datos!W15)/Datos!W15," - ")</f>
        <v>-2.7397260273972601E-2</v>
      </c>
      <c r="I15" s="349">
        <f>IF(ISNUMBER((Tasas!C15-Datos!BE15)/Datos!BE15),(Tasas!C15-Datos!BE15)/Datos!BE15," - ")</f>
        <v>0.62726346767415697</v>
      </c>
      <c r="J15" s="348">
        <f>IF(ISNUMBER((Tasas!D15-Datos!BF15)/Datos!BF15),(Tasas!D15-Datos!BF15)/Datos!BF15," - ")</f>
        <v>2.5143587544253491E-2</v>
      </c>
      <c r="K15" s="350">
        <f>IF(ISNUMBER((Tasas!E15-Datos!BG15)/Datos!BG15),(Tasas!E15-Datos!BG15)/Datos!BG15," - ")</f>
        <v>0.33932121253607822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0.92753623188405798</v>
      </c>
      <c r="E18" s="347">
        <f>IF(ISNUMBER(
   IF(D_I="SI",(Datos!J18-Datos!T18)/Datos!T18,(Datos!J18+Datos!AD18-(Datos!T18+Datos!AL18))/(Datos!T18+Datos!AL18))
     ),IF(D_I="SI",(Datos!J18-Datos!T18)/Datos!T18,(Datos!J18+Datos!AD18-(Datos!T18+Datos!AL18))/(Datos!T18+Datos!AL18))," - ")</f>
        <v>0.21380846325167038</v>
      </c>
      <c r="F18" s="347">
        <f>IF(ISNUMBER(
   IF(D_I="SI",(Datos!K18-Datos!U18)/Datos!U18,(Datos!K18+Datos!AE18-(Datos!U18+Datos!AM18))/(Datos!U18+Datos!AM18))
     ),IF(D_I="SI",(Datos!K18-Datos!U18)/Datos!U18,(Datos!K18+Datos!AE18-(Datos!U18+Datos!AM18))/(Datos!U18+Datos!AM18))," - ")</f>
        <v>0.10114942528735632</v>
      </c>
      <c r="G18" s="348">
        <f>IF(ISNUMBER(
   IF(D_I="SI",(Datos!L18-Datos!V18)/Datos!V18,(Datos!L18+Datos!AF18-(Datos!V18+Datos!AN18))/(Datos!V18+Datos!AN18))
     ),IF(D_I="SI",(Datos!L18-Datos!V18)/Datos!V18,(Datos!L18+Datos!AF18-(Datos!V18+Datos!AN18))/(Datos!V18+Datos!AN18))," - ")</f>
        <v>1.1644736842105263</v>
      </c>
      <c r="H18" s="229">
        <f>IF(ISNUMBER((Datos!M18-Datos!W18)/Datos!W18),(Datos!M18-Datos!W18)/Datos!W18," - ")</f>
        <v>0.5</v>
      </c>
      <c r="I18" s="349">
        <f>IF(ISNUMBER((Tasas!C18-Datos!BE18)/Datos!BE18),(Tasas!C18-Datos!BE18)/Datos!BE18," - ")</f>
        <v>0.96564937918909999</v>
      </c>
      <c r="J18" s="348">
        <f>IF(ISNUMBER((Tasas!D18-Datos!BF18)/Datos!BF18),(Tasas!D18-Datos!BF18)/Datos!BF18," - ")</f>
        <v>0.36221294363256795</v>
      </c>
      <c r="K18" s="350">
        <f>IF(ISNUMBER((Tasas!E18-Datos!BG18)/Datos!BG18),(Tasas!E18-Datos!BG18)/Datos!BG18," - ")</f>
        <v>0.25469017295401752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0.55114054451802796</v>
      </c>
      <c r="E19" s="353">
        <f>IF(ISNUMBER(
   IF(D_I="SI",(Datos!J19-Datos!T19)/Datos!T19,(Datos!J19+Datos!AD19-(Datos!T19+Datos!AL19))/(Datos!T19+Datos!AL19))
     ),IF(D_I="SI",(Datos!J19-Datos!T19)/Datos!T19,(Datos!J19+Datos!AD19-(Datos!T19+Datos!AL19))/(Datos!T19+Datos!AL19))," - ")</f>
        <v>2.823920265780731E-2</v>
      </c>
      <c r="F19" s="353">
        <f>IF(ISNUMBER(
   IF(D_I="SI",(Datos!K19-Datos!U19)/Datos!U19,(Datos!K19+Datos!AE19-(Datos!U19+Datos!AM19))/(Datos!U19+Datos!AM19))
     ),IF(D_I="SI",(Datos!K19-Datos!U19)/Datos!U19,(Datos!K19+Datos!AE19-(Datos!U19+Datos!AM19))/(Datos!U19+Datos!AM19))," - ")</f>
        <v>-3.9384174722520586E-2</v>
      </c>
      <c r="G19" s="354">
        <f>IF(ISNUMBER(
   IF(D_I="SI",(Datos!L19-Datos!V19)/Datos!V19,(Datos!L19+Datos!AF19-(Datos!V19+Datos!AN19))/(Datos!V19+Datos!AN19))
     ),IF(D_I="SI",(Datos!L19-Datos!V19)/Datos!V19,(Datos!L19+Datos!AF19-(Datos!V19+Datos!AN19))/(Datos!V19+Datos!AN19))," - ")</f>
        <v>0.55964530701020576</v>
      </c>
      <c r="H19" s="355">
        <f>IF(ISNUMBER((Datos!M19-Datos!W19)/Datos!W19),(Datos!M19-Datos!W19)/Datos!W19," - ")</f>
        <v>-1.0309278350515464E-2</v>
      </c>
      <c r="I19" s="356">
        <f>IF(ISNUMBER((Tasas!C19-Datos!BE19)/Datos!BE19),(Tasas!C19-Datos!BE19)/Datos!BE19," - ")</f>
        <v>0.62358902067816036</v>
      </c>
      <c r="J19" s="354">
        <f>IF(ISNUMBER((Tasas!D19-Datos!BF19)/Datos!BF19),(Tasas!D19-Datos!BF19)/Datos!BF19," - ")</f>
        <v>3.0266934613123561E-2</v>
      </c>
      <c r="K19" s="357">
        <f>IF(ISNUMBER((Tasas!E19-Datos!BG19)/Datos!BG19),(Tasas!E19-Datos!BG19)/Datos!BG19," - ")</f>
        <v>0.32869113568360275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-2.3400519163231027E-2</v>
      </c>
      <c r="E20" s="362">
        <f>IF(ISNUMBER(
   IF(J_V="SI",(Datos!J20-Datos!T20)/Datos!T20,(Datos!J20+Datos!Z20-(Datos!T20+Datos!AH20))/(Datos!T20+Datos!AH20))
     ),IF(J_V="SI",(Datos!J20-Datos!T20)/Datos!T20,(Datos!J20+Datos!Z20-(Datos!T20+Datos!AH20))/(Datos!T20+Datos!AH20))," - ")</f>
        <v>-8.8166601790579988E-2</v>
      </c>
      <c r="F20" s="362">
        <f>IF(ISNUMBER(
   IF(J_V="SI",(Datos!K20-Datos!U20)/Datos!U20,(Datos!K20+Datos!AA20-(Datos!U20+Datos!AI20))/(Datos!U20+Datos!AI20))
     ),IF(J_V="SI",(Datos!K20-Datos!U20)/Datos!U20,(Datos!K20+Datos!AA20-(Datos!U20+Datos!AI20))/(Datos!U20+Datos!AI20))," - ")</f>
        <v>-0.10455147417578588</v>
      </c>
      <c r="G20" s="363">
        <f>IF(ISNUMBER(
   IF(J_V="SI",(Datos!L20-Datos!V20)/Datos!V20,(Datos!L20+Datos!AB20-(Datos!V20+Datos!AJ20))/(Datos!V20+Datos!AJ20))
     ),IF(J_V="SI",(Datos!L20-Datos!V20)/Datos!V20,(Datos!L20+Datos!AB20-(Datos!V20+Datos!AJ20))/(Datos!V20+Datos!AJ20))," - ")</f>
        <v>-2.9453218170647971E-2</v>
      </c>
      <c r="H20" s="364">
        <f>IF(ISNUMBER((Datos!M20-Datos!W20)/Datos!W20),(Datos!M20-Datos!W20)/Datos!W20," - ")</f>
        <v>0.11044776119402985</v>
      </c>
      <c r="I20" s="361">
        <f>IF(ISNUMBER((Tasas!C20-Datos!BE20)/Datos!BE20),(Tasas!C20-Datos!BE20)/Datos!BE20," - ")</f>
        <v>8.3866636483670376E-2</v>
      </c>
      <c r="J20" s="362">
        <f>IF(ISNUMBER((Tasas!D20-Datos!BF20)/Datos!BF20),(Tasas!D20-Datos!BF20)/Datos!BF20," - ")</f>
        <v>3.7289050708875844E-2</v>
      </c>
      <c r="K20" s="363">
        <f>IF(ISNUMBER((Tasas!E20-Datos!BG20)/Datos!BG20),(Tasas!E20-Datos!BG20)/Datos!BG20," - ")</f>
        <v>6.3832837723521219E-2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0.38812180521497608</v>
      </c>
      <c r="E22" s="277">
        <f t="shared" si="1"/>
        <v>0.12028065211104308</v>
      </c>
      <c r="F22" s="277">
        <f t="shared" si="1"/>
        <v>9.223451661113341E-2</v>
      </c>
      <c r="G22" s="278">
        <f t="shared" si="1"/>
        <v>0.40833779249897306</v>
      </c>
      <c r="H22" s="284">
        <f t="shared" si="1"/>
        <v>0.23539059157105943</v>
      </c>
      <c r="I22" s="276">
        <f t="shared" si="1"/>
        <v>0.41963103769362842</v>
      </c>
      <c r="J22" s="277">
        <f t="shared" si="1"/>
        <v>0.30099048924961225</v>
      </c>
      <c r="K22" s="278">
        <f t="shared" si="1"/>
        <v>0.18194406690212631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7TvbkqUH062LwHRYoKNdWJHVCJYF+vM/RAU8e8x7FSk51WzUBQPDV8aZgtvosAcwvR+Mkjfd/ZUWnKWuGoKU1Q==" saltValue="9ibMQDDbXpdKlzHz6BaOc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12</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27.41224737881781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135</v>
      </c>
      <c r="D10" s="224">
        <f>IF(ISNUMBER(Datos!I10),Datos!I10," - ")</f>
        <v>135</v>
      </c>
      <c r="E10" s="225">
        <f>IF(ISNUMBER(Datos!J10),Datos!J10," - ")</f>
        <v>77</v>
      </c>
      <c r="F10" s="225">
        <f>IF(ISNUMBER(Datos!K10),Datos!K10," - ")</f>
        <v>67</v>
      </c>
      <c r="G10" s="1029" t="str">
        <f>IF(Datos!E10&lt;&gt;"",Datos!E10,Datos!D10)</f>
        <v>37</v>
      </c>
      <c r="H10" s="226">
        <f>IF(ISNUMBER(Datos!L10),Datos!L10," - ")</f>
        <v>145</v>
      </c>
      <c r="I10" s="1039" t="str">
        <f>IF(ISNUMBER(Datos!AS10/Datos!BM10),Datos!AS10/Datos!BM10," - ")</f>
        <v xml:space="preserve"> - </v>
      </c>
      <c r="J10" s="1040">
        <f>IF(ISNUMBER(Datos!BY10/Datos!CN10),Datos!BY10/Datos!CN10," - ")</f>
        <v>0</v>
      </c>
      <c r="K10" s="229">
        <f t="shared" ref="K10:K12" si="1">IF(ISNUMBER((E10-F10)/C10),(E10-F10)/C10," - ")</f>
        <v>7.407407407407407E-2</v>
      </c>
      <c r="L10" s="1020">
        <f>IF(ISNUMBER(NºAsuntos!I10/NºAsuntos!G10),(NºAsuntos!I10/NºAsuntos!G10)*11," - ")</f>
        <v>23.805970149253728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3</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13.060024009603842</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135</v>
      </c>
      <c r="D13" s="1044">
        <f>SUBTOTAL(9,D9:D12)</f>
        <v>135</v>
      </c>
      <c r="E13" s="1045">
        <f>SUBTOTAL(9,E9:E12)</f>
        <v>77</v>
      </c>
      <c r="F13" s="1046">
        <f>SUBTOTAL(9,F9:F12)</f>
        <v>67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6</v>
      </c>
      <c r="B15" s="501" t="str">
        <f>Datos!A15</f>
        <v xml:space="preserve">Seccion Instruccion Del T.I.                   </v>
      </c>
      <c r="C15" s="224">
        <f t="shared" ref="C15:C18" si="2">IF(ISNUMBER(H15-E15+F15),H15-E15+F15," - ")</f>
        <v>8235</v>
      </c>
      <c r="D15" s="224">
        <f>IF(ISNUMBER(IF(D_I="SI",Datos!I15,Datos!I15+Datos!AC15)),IF(D_I="SI",Datos!I15,Datos!I15+Datos!AC15)," - ")</f>
        <v>8166</v>
      </c>
      <c r="E15" s="225">
        <f>IF(ISNUMBER(IF(D_I="SI",Datos!J15,Datos!J15+Datos!AD15)),IF(D_I="SI",Datos!J15,Datos!J15+Datos!AD15)," - ")</f>
        <v>5645</v>
      </c>
      <c r="F15" s="225">
        <f>IF(ISNUMBER(IF(D_I="SI",Datos!K15,Datos!K15+Datos!AE15)),IF(D_I="SI",Datos!K15,Datos!K15+Datos!AE15)," - ")</f>
        <v>4887</v>
      </c>
      <c r="G15" s="1029" t="str">
        <f>IF(Datos!E15&lt;&gt;"",Datos!E15,Datos!D15)</f>
        <v>03</v>
      </c>
      <c r="H15" s="226">
        <f>IF(ISNUMBER(IF(D_I="SI",Datos!L15,Datos!L15+Datos!AF15)),IF(D_I="SI",Datos!L15,Datos!L15+Datos!AF15)," - ")</f>
        <v>8993</v>
      </c>
      <c r="I15" s="1039" t="str">
        <f>IF(ISNUMBER(Datos!AS15/Datos!BM15),Datos!AS15/Datos!BM15," - ")</f>
        <v xml:space="preserve"> - </v>
      </c>
      <c r="J15" s="1040">
        <f>IF(ISNUMBER(Datos!BY15/Datos!CN15),Datos!BY15/Datos!CN15," - ")</f>
        <v>0</v>
      </c>
      <c r="K15" s="229">
        <f t="shared" ref="K15:K18" si="3">IF(ISNUMBER((E15-F15)/C15),(E15-F15)/C15," - ")</f>
        <v>9.2046144505160896E-2</v>
      </c>
      <c r="L15" s="1020">
        <f>IF(ISNUMBER(NºAsuntos!I15/NºAsuntos!G15),(NºAsuntos!I15/NºAsuntos!G15)*11," - ")</f>
        <v>20.242070800081848</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263</v>
      </c>
      <c r="D18" s="224">
        <f>IF(ISNUMBER(IF(D_I="SI",Datos!I18,Datos!I18+Datos!AC18)),IF(D_I="SI",Datos!I18,Datos!I18+Datos!AC18)," - ")</f>
        <v>266</v>
      </c>
      <c r="E18" s="225">
        <f>IF(ISNUMBER(IF(D_I="SI",Datos!J18,Datos!J18+Datos!AD18)),IF(D_I="SI",Datos!J18,Datos!J18+Datos!AD18)," - ")</f>
        <v>545</v>
      </c>
      <c r="F18" s="225">
        <f>IF(ISNUMBER(IF(D_I="SI",Datos!K18,Datos!K18+Datos!AE18)),IF(D_I="SI",Datos!K18,Datos!K18+Datos!AE18)," - ")</f>
        <v>479</v>
      </c>
      <c r="G18" s="1029" t="str">
        <f>IF(Datos!E18&lt;&gt;"",Datos!E18,Datos!D18)</f>
        <v>37</v>
      </c>
      <c r="H18" s="226">
        <f>IF(ISNUMBER(IF(D_I="SI",Datos!L18,Datos!L18+Datos!AF18)),IF(D_I="SI",Datos!L18,Datos!L18+Datos!AF18)," - ")</f>
        <v>329</v>
      </c>
      <c r="I18" s="1039" t="str">
        <f>IF(ISNUMBER(Datos!AS18/Datos!BM18),Datos!AS18/Datos!BM18," - ")</f>
        <v xml:space="preserve"> - </v>
      </c>
      <c r="J18" s="1040" t="str">
        <f>IF(ISNUMBER((Datos!BY18+Datos!BZ18)/Datos!CN18),(Datos!BY18+Datos!BZ18)/Datos!CN18," - ")</f>
        <v xml:space="preserve"> - </v>
      </c>
      <c r="K18" s="229">
        <f t="shared" si="3"/>
        <v>0.2509505703422053</v>
      </c>
      <c r="L18" s="1020">
        <f>IF(ISNUMBER(NºAsuntos!I18/NºAsuntos!G18),(NºAsuntos!I18/NºAsuntos!G18)*11," - ")</f>
        <v>7.5553235908141954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8498</v>
      </c>
      <c r="D19" s="1044">
        <f>SUBTOTAL(9,D15:D18)</f>
        <v>8432</v>
      </c>
      <c r="E19" s="1045">
        <f>SUBTOTAL(9,E15:E18)</f>
        <v>6190</v>
      </c>
      <c r="F19" s="1045">
        <f>SUBTOTAL(9,F15:F18)</f>
        <v>5366</v>
      </c>
      <c r="G19" s="1047" t="str">
        <f ca="1">INDIRECT(CONCATENATE("G",ROW()-1))</f>
        <v>37</v>
      </c>
      <c r="H19" s="1048">
        <f ca="1">SUMIF(G$14:G18,G19,H$14:H18)</f>
        <v>329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8633</v>
      </c>
      <c r="D20" s="1066">
        <f>SUBTOTAL(9,D9:D19)</f>
        <v>8567</v>
      </c>
      <c r="E20" s="1067">
        <f>SUBTOTAL(9,E9:E19)</f>
        <v>6267</v>
      </c>
      <c r="F20" s="1067">
        <f>SUBTOTAL(9,F9:F19)</f>
        <v>5433</v>
      </c>
      <c r="G20" s="1068"/>
      <c r="H20" s="1069">
        <f ca="1">SUMIF(B9:B19,"TOTAL",H9:H19)</f>
        <v>329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UyXP/hx0xiKnFka9iJADZPbR3JtzQeCyz2O1WwtSyRh/+9LjFhJ/Lz47XbXP0v6X6tY2HEXXY+fStVadwLnRg==" saltValue="lQrHJGrXDeatZvVhh4q8l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TwsIZV2a7/LDIfC8oDQFaY03Vi2YxUn0jgvQc51A+yhgZnrCmQS4qWCeQele1jEEzDX3LGqbQ/tH9E8h9BX4g==" saltValue="W+F8QA09ZVa41bflntok7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VALLADOLID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15737</v>
      </c>
      <c r="J9" s="180">
        <v>6695</v>
      </c>
      <c r="K9" s="180">
        <v>6287</v>
      </c>
      <c r="L9" s="180">
        <v>16144</v>
      </c>
      <c r="M9" s="180">
        <v>2813</v>
      </c>
      <c r="N9" s="180">
        <v>2076</v>
      </c>
      <c r="O9" s="180">
        <v>2600</v>
      </c>
      <c r="P9" s="180">
        <v>1710</v>
      </c>
      <c r="Q9" s="180">
        <v>1546</v>
      </c>
      <c r="R9" s="180">
        <v>26194</v>
      </c>
      <c r="S9" s="180">
        <v>19074</v>
      </c>
      <c r="T9" s="180">
        <v>8152</v>
      </c>
      <c r="U9" s="180">
        <v>7593</v>
      </c>
      <c r="V9" s="180">
        <v>19983</v>
      </c>
      <c r="W9" s="180">
        <v>2366</v>
      </c>
      <c r="X9" s="187">
        <v>2685</v>
      </c>
      <c r="Y9" s="190">
        <v>293</v>
      </c>
      <c r="Z9" s="180">
        <v>257</v>
      </c>
      <c r="AA9" s="180">
        <v>294</v>
      </c>
      <c r="AB9" s="180">
        <v>256</v>
      </c>
      <c r="AC9" s="180">
        <v>0</v>
      </c>
      <c r="AD9" s="180">
        <v>0</v>
      </c>
      <c r="AE9" s="180">
        <v>0</v>
      </c>
      <c r="AF9" s="187">
        <v>0</v>
      </c>
      <c r="AG9" s="190">
        <v>146</v>
      </c>
      <c r="AH9" s="180">
        <v>223</v>
      </c>
      <c r="AI9" s="180">
        <v>102</v>
      </c>
      <c r="AJ9" s="191">
        <v>284</v>
      </c>
      <c r="AK9" s="179">
        <v>0</v>
      </c>
      <c r="AL9" s="180">
        <v>0</v>
      </c>
      <c r="AM9" s="180">
        <v>0</v>
      </c>
      <c r="AN9" s="187">
        <v>0</v>
      </c>
      <c r="AO9" s="257">
        <v>12</v>
      </c>
      <c r="AP9" s="153">
        <v>12</v>
      </c>
      <c r="AQ9" s="153">
        <v>12</v>
      </c>
      <c r="AR9" s="192">
        <v>12</v>
      </c>
      <c r="AS9" s="337" t="s">
        <v>763</v>
      </c>
      <c r="AT9" s="194"/>
      <c r="AU9" s="193"/>
      <c r="AV9" s="194"/>
      <c r="AW9" s="193"/>
      <c r="AX9" s="194"/>
      <c r="AY9" s="123">
        <f>IF(ISNUMBER(IF(J_V="SI",S9,S9+AG9)),IF(J_V="SI",S9,S9+AG9)," - ")</f>
        <v>19220</v>
      </c>
      <c r="AZ9" s="123">
        <f>IF(ISNUMBER(IF(J_V="SI",T9,T9+AH9)),IF(J_V="SI",T9,T9+AH9)," - ")</f>
        <v>8375</v>
      </c>
      <c r="BA9" s="124">
        <f>IF(ISNUMBER(IF(J_V="SI",U9,U9+AI9)),IF(J_V="SI",U9,U9+AI9)," - ")</f>
        <v>7695</v>
      </c>
      <c r="BB9" s="124">
        <f>IF(ISNUMBER(IF(J_V="SI",V9,V9+AJ9)),IF(J_V="SI",V9,V9+AJ9)," - ")</f>
        <v>20267</v>
      </c>
      <c r="BC9" s="125">
        <f>IF(ISNUMBER(X9),X9," - ")</f>
        <v>2685</v>
      </c>
      <c r="BD9" s="126">
        <f>IF(ISNUMBER(BA9/AZ9),BA9/AZ9," - ")</f>
        <v>0.91880597014925369</v>
      </c>
      <c r="BE9" s="127">
        <f>IF(ISNUMBER(BB9/BA9),BB9/BA9, " - ")</f>
        <v>2.6337881741390512</v>
      </c>
      <c r="BF9" s="127">
        <f>IF(ISNUMBER(BC9/BA9),BC9/BA9, " - ")</f>
        <v>0.3489278752436647</v>
      </c>
      <c r="BG9" s="195">
        <f>IF(ISNUMBER((AY9+AZ9)/BA9),(AY9+AZ9)/BA9," - ")</f>
        <v>3.5860948667966213</v>
      </c>
      <c r="BH9" s="153">
        <v>12</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135</v>
      </c>
      <c r="J10" s="180">
        <v>77</v>
      </c>
      <c r="K10" s="180">
        <v>67</v>
      </c>
      <c r="L10" s="180">
        <v>145</v>
      </c>
      <c r="M10" s="180">
        <v>25</v>
      </c>
      <c r="N10" s="180">
        <v>26</v>
      </c>
      <c r="O10" s="180">
        <v>11</v>
      </c>
      <c r="P10" s="180">
        <v>10</v>
      </c>
      <c r="Q10" s="180">
        <v>5</v>
      </c>
      <c r="R10" s="180">
        <v>114</v>
      </c>
      <c r="S10" s="180">
        <v>137</v>
      </c>
      <c r="T10" s="180">
        <v>62</v>
      </c>
      <c r="U10" s="180">
        <v>76</v>
      </c>
      <c r="V10" s="180">
        <v>123</v>
      </c>
      <c r="W10" s="180">
        <v>26</v>
      </c>
      <c r="X10" s="187">
        <v>37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137</v>
      </c>
      <c r="AZ10" s="129">
        <f t="shared" si="0"/>
        <v>62</v>
      </c>
      <c r="BA10" s="129">
        <f t="shared" si="0"/>
        <v>76</v>
      </c>
      <c r="BB10" s="129">
        <f t="shared" si="0"/>
        <v>123</v>
      </c>
      <c r="BC10" s="125">
        <f t="shared" si="0"/>
        <v>26</v>
      </c>
      <c r="BD10" s="126">
        <f>IF(ISNUMBER(BA10/AZ10),BA10/AZ10," - ")</f>
        <v>1.2258064516129032</v>
      </c>
      <c r="BE10" s="127">
        <f>IF(ISNUMBER(BB10/BA10),BB10/BA10, " - ")</f>
        <v>1.618421052631579</v>
      </c>
      <c r="BF10" s="127">
        <f>IF(ISNUMBER(BC10/BA10),BC10/BA10, " - ")</f>
        <v>0.34210526315789475</v>
      </c>
      <c r="BG10" s="195">
        <f>IF(ISNUMBER((AY10+AZ10)/BA10),(AY10+AZ10)/BA10," - ")</f>
        <v>2.6184210526315788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760</v>
      </c>
      <c r="J11" s="182">
        <v>535</v>
      </c>
      <c r="K11" s="182">
        <v>445</v>
      </c>
      <c r="L11" s="182">
        <v>850</v>
      </c>
      <c r="M11" s="182">
        <v>210</v>
      </c>
      <c r="N11" s="182">
        <v>411</v>
      </c>
      <c r="O11" s="180">
        <v>291</v>
      </c>
      <c r="P11" s="182">
        <v>91</v>
      </c>
      <c r="Q11" s="182">
        <v>110</v>
      </c>
      <c r="R11" s="182">
        <v>922</v>
      </c>
      <c r="S11" s="182">
        <v>1169</v>
      </c>
      <c r="T11" s="182">
        <v>599</v>
      </c>
      <c r="U11" s="182">
        <v>644</v>
      </c>
      <c r="V11" s="182">
        <v>1128</v>
      </c>
      <c r="W11" s="182">
        <v>279</v>
      </c>
      <c r="X11" s="188">
        <v>615</v>
      </c>
      <c r="Y11" s="190">
        <v>226</v>
      </c>
      <c r="Z11" s="180">
        <v>301</v>
      </c>
      <c r="AA11" s="180">
        <v>388</v>
      </c>
      <c r="AB11" s="180">
        <v>139</v>
      </c>
      <c r="AC11" s="182">
        <v>0</v>
      </c>
      <c r="AD11" s="182">
        <v>0</v>
      </c>
      <c r="AE11" s="182">
        <v>0</v>
      </c>
      <c r="AF11" s="188">
        <v>0</v>
      </c>
      <c r="AG11" s="201">
        <v>234</v>
      </c>
      <c r="AH11" s="182">
        <v>358</v>
      </c>
      <c r="AI11" s="182">
        <v>346</v>
      </c>
      <c r="AJ11" s="202">
        <v>176</v>
      </c>
      <c r="AK11" s="181">
        <v>0</v>
      </c>
      <c r="AL11" s="182">
        <v>0</v>
      </c>
      <c r="AM11" s="182">
        <v>0</v>
      </c>
      <c r="AN11" s="188">
        <v>0</v>
      </c>
      <c r="AO11" s="258">
        <v>3</v>
      </c>
      <c r="AP11" s="154">
        <v>3</v>
      </c>
      <c r="AQ11" s="154">
        <v>3</v>
      </c>
      <c r="AR11" s="153">
        <v>3</v>
      </c>
      <c r="AS11" s="339" t="s">
        <v>765</v>
      </c>
      <c r="AT11" s="202"/>
      <c r="AU11" s="201"/>
      <c r="AV11" s="202"/>
      <c r="AW11" s="201"/>
      <c r="AX11" s="202"/>
      <c r="AY11" s="126">
        <f t="shared" ref="AY11:BB12" si="1">IF(ISNUMBER(IF(J_V="SI",S11,S11+AG11)),IF(J_V="SI",S11,S11+AG11)," - ")</f>
        <v>1403</v>
      </c>
      <c r="AZ11" s="127">
        <f t="shared" si="1"/>
        <v>957</v>
      </c>
      <c r="BA11" s="127">
        <f t="shared" si="1"/>
        <v>990</v>
      </c>
      <c r="BB11" s="127">
        <f t="shared" si="1"/>
        <v>1304</v>
      </c>
      <c r="BC11" s="125">
        <f>IF(ISNUMBER(X11),X11," - ")</f>
        <v>615</v>
      </c>
      <c r="BD11" s="126">
        <f t="shared" ref="BD11:BD12" si="2">IF(ISNUMBER(BA11/AZ11),BA11/AZ11," - ")</f>
        <v>1.0344827586206897</v>
      </c>
      <c r="BE11" s="127">
        <f t="shared" ref="BE11:BE12" si="3">IF(ISNUMBER(BB11/BA11),BB11/BA11, " - ")</f>
        <v>1.3171717171717172</v>
      </c>
      <c r="BF11" s="127">
        <f t="shared" ref="BF11:BF12" si="4">IF(ISNUMBER(BC11/BA11),BC11/BA11, " - ")</f>
        <v>0.62121212121212122</v>
      </c>
      <c r="BG11" s="195">
        <f t="shared" ref="BG11:BG12" si="5">IF(ISNUMBER((AY11+AZ11)/BA11),(AY11+AZ11)/BA11," - ")</f>
        <v>2.3838383838383836</v>
      </c>
      <c r="BH11" s="154">
        <v>6</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16632</v>
      </c>
      <c r="J13" s="183">
        <f t="shared" si="6"/>
        <v>7307</v>
      </c>
      <c r="K13" s="183">
        <f t="shared" si="6"/>
        <v>6799</v>
      </c>
      <c r="L13" s="183">
        <f t="shared" si="6"/>
        <v>17139</v>
      </c>
      <c r="M13" s="183">
        <f t="shared" si="6"/>
        <v>3048</v>
      </c>
      <c r="N13" s="183">
        <f t="shared" si="6"/>
        <v>2513</v>
      </c>
      <c r="O13" s="183">
        <f t="shared" si="6"/>
        <v>2902</v>
      </c>
      <c r="P13" s="183">
        <f t="shared" si="6"/>
        <v>1811</v>
      </c>
      <c r="Q13" s="183">
        <f t="shared" si="6"/>
        <v>1661</v>
      </c>
      <c r="R13" s="183">
        <f t="shared" si="6"/>
        <v>27230</v>
      </c>
      <c r="S13" s="183">
        <f t="shared" si="6"/>
        <v>20380</v>
      </c>
      <c r="T13" s="183">
        <f t="shared" si="6"/>
        <v>8813</v>
      </c>
      <c r="U13" s="183">
        <f t="shared" si="6"/>
        <v>8313</v>
      </c>
      <c r="V13" s="183">
        <f t="shared" si="6"/>
        <v>21234</v>
      </c>
      <c r="W13" s="183">
        <f t="shared" si="6"/>
        <v>2671</v>
      </c>
      <c r="X13" s="183">
        <f t="shared" si="6"/>
        <v>3337</v>
      </c>
      <c r="Y13" s="183">
        <f t="shared" si="6"/>
        <v>519</v>
      </c>
      <c r="Z13" s="183">
        <f t="shared" si="6"/>
        <v>558</v>
      </c>
      <c r="AA13" s="183">
        <f t="shared" si="6"/>
        <v>682</v>
      </c>
      <c r="AB13" s="183">
        <f t="shared" si="6"/>
        <v>395</v>
      </c>
      <c r="AC13" s="183">
        <f t="shared" si="6"/>
        <v>0</v>
      </c>
      <c r="AD13" s="183">
        <f t="shared" si="6"/>
        <v>0</v>
      </c>
      <c r="AE13" s="183">
        <f t="shared" si="6"/>
        <v>0</v>
      </c>
      <c r="AF13" s="183">
        <f>SUBTOTAL(9,AF9:AF12)</f>
        <v>0</v>
      </c>
      <c r="AG13" s="183">
        <f t="shared" ref="AG13:AT13" si="7">SUBTOTAL(9,AG8:AG12)</f>
        <v>380</v>
      </c>
      <c r="AH13" s="183">
        <f t="shared" si="7"/>
        <v>581</v>
      </c>
      <c r="AI13" s="183">
        <f t="shared" si="7"/>
        <v>448</v>
      </c>
      <c r="AJ13" s="183">
        <f t="shared" si="7"/>
        <v>460</v>
      </c>
      <c r="AK13" s="183">
        <f t="shared" si="7"/>
        <v>0</v>
      </c>
      <c r="AL13" s="183">
        <f t="shared" si="7"/>
        <v>0</v>
      </c>
      <c r="AM13" s="183">
        <f t="shared" si="7"/>
        <v>0</v>
      </c>
      <c r="AN13" s="183">
        <f t="shared" si="7"/>
        <v>0</v>
      </c>
      <c r="AO13" s="183">
        <f t="shared" si="7"/>
        <v>17</v>
      </c>
      <c r="AP13" s="183">
        <f t="shared" si="7"/>
        <v>17</v>
      </c>
      <c r="AQ13" s="183">
        <f t="shared" si="7"/>
        <v>17</v>
      </c>
      <c r="AR13" s="183">
        <f t="shared" si="7"/>
        <v>17</v>
      </c>
      <c r="AS13" s="183">
        <f t="shared" si="7"/>
        <v>0</v>
      </c>
      <c r="AT13" s="183">
        <f t="shared" si="7"/>
        <v>0</v>
      </c>
      <c r="AU13" s="203"/>
      <c r="AV13" s="132"/>
      <c r="AW13" s="203"/>
      <c r="AX13" s="132"/>
      <c r="AY13" s="183">
        <f>SUBTOTAL(9,AY8:AY12)</f>
        <v>20760</v>
      </c>
      <c r="AZ13" s="183">
        <f>SUBTOTAL(9,AZ8:AZ12)</f>
        <v>9394</v>
      </c>
      <c r="BA13" s="183">
        <f>SUBTOTAL(9,BA8:BA12)</f>
        <v>8761</v>
      </c>
      <c r="BB13" s="183">
        <f>SUBTOTAL(9,BB8:BB12)</f>
        <v>21694</v>
      </c>
      <c r="BC13" s="183">
        <f>SUBTOTAL(9,BC8:BC12)</f>
        <v>3326</v>
      </c>
      <c r="BD13" s="204">
        <f>IF(ISNUMBER(BA13/AZ13),BA13/AZ13," - ")</f>
        <v>0.93261656376410473</v>
      </c>
      <c r="BE13" s="205">
        <f>IF(ISNUMBER(BB13/BA13),BB13/BA13, " - ")</f>
        <v>2.4762013468782103</v>
      </c>
      <c r="BF13" s="205">
        <f>IF(ISNUMBER(BC13/BA13),BC13/BA13, " - ")</f>
        <v>0.37963702773655977</v>
      </c>
      <c r="BG13" s="206">
        <f>IF(ISNUMBER((AY13+AZ13)/BA13),(AY13+AZ13)/BA13," - ")</f>
        <v>3.4418445382947152</v>
      </c>
      <c r="BH13" s="139">
        <f>SUBTOTAL(9,BH8:BH12)</f>
        <v>19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8166</v>
      </c>
      <c r="J15" s="182">
        <v>5645</v>
      </c>
      <c r="K15" s="182">
        <v>4887</v>
      </c>
      <c r="L15" s="182">
        <v>8993</v>
      </c>
      <c r="M15" s="182">
        <v>639</v>
      </c>
      <c r="N15" s="182">
        <v>2815</v>
      </c>
      <c r="O15" s="180">
        <v>147</v>
      </c>
      <c r="P15" s="182">
        <v>272</v>
      </c>
      <c r="Q15" s="182">
        <v>214</v>
      </c>
      <c r="R15" s="182">
        <v>685</v>
      </c>
      <c r="S15" s="182">
        <v>5298</v>
      </c>
      <c r="T15" s="182">
        <v>5571</v>
      </c>
      <c r="U15" s="182">
        <v>5151</v>
      </c>
      <c r="V15" s="182">
        <v>5825</v>
      </c>
      <c r="W15" s="182">
        <v>657</v>
      </c>
      <c r="X15" s="188">
        <v>2934</v>
      </c>
      <c r="Y15" s="201">
        <v>0</v>
      </c>
      <c r="Z15" s="182">
        <v>0</v>
      </c>
      <c r="AA15" s="182">
        <v>0</v>
      </c>
      <c r="AB15" s="182">
        <v>0</v>
      </c>
      <c r="AC15" s="182">
        <v>462</v>
      </c>
      <c r="AD15" s="182">
        <v>299</v>
      </c>
      <c r="AE15" s="182">
        <v>269</v>
      </c>
      <c r="AF15" s="188">
        <v>492</v>
      </c>
      <c r="AG15" s="201">
        <v>0</v>
      </c>
      <c r="AH15" s="182">
        <v>0</v>
      </c>
      <c r="AI15" s="182">
        <v>0</v>
      </c>
      <c r="AJ15" s="202">
        <v>0</v>
      </c>
      <c r="AK15" s="181">
        <v>170</v>
      </c>
      <c r="AL15" s="182">
        <v>807</v>
      </c>
      <c r="AM15" s="182">
        <v>689</v>
      </c>
      <c r="AN15" s="188">
        <v>288</v>
      </c>
      <c r="AO15" s="258">
        <v>6</v>
      </c>
      <c r="AP15" s="154">
        <v>6</v>
      </c>
      <c r="AQ15" s="154">
        <v>6</v>
      </c>
      <c r="AR15" s="154">
        <v>6</v>
      </c>
      <c r="AS15" s="339" t="s">
        <v>520</v>
      </c>
      <c r="AT15" s="202" t="s">
        <v>327</v>
      </c>
      <c r="AU15" s="201"/>
      <c r="AV15" s="202"/>
      <c r="AW15" s="201"/>
      <c r="AX15" s="202"/>
      <c r="AY15" s="128">
        <f t="shared" ref="AY15:BB17" si="9">IF(ISNUMBER(IF(D_I="SI",S15,S15+AK15)),IF(D_I="SI",S15,S15+AK15)," - ")</f>
        <v>5298</v>
      </c>
      <c r="AZ15" s="129">
        <f t="shared" si="9"/>
        <v>5571</v>
      </c>
      <c r="BA15" s="129">
        <f t="shared" si="9"/>
        <v>5151</v>
      </c>
      <c r="BB15" s="129">
        <f t="shared" si="9"/>
        <v>5825</v>
      </c>
      <c r="BC15" s="125">
        <f>IF(ISNUMBER(W15),W15," - ")</f>
        <v>657</v>
      </c>
      <c r="BD15" s="126">
        <f>IF(ISNUMBER(BA15/AZ15),BA15/AZ15," - ")</f>
        <v>0.92460958535271942</v>
      </c>
      <c r="BE15" s="127">
        <f>IF(ISNUMBER(BB15/BA15),BB15/BA15, " - ")</f>
        <v>1.1308483789555426</v>
      </c>
      <c r="BF15" s="127">
        <f>IF(ISNUMBER(BC15/BA15),BC15/BA15, " - ")</f>
        <v>0.12754804892253932</v>
      </c>
      <c r="BG15" s="195">
        <f t="shared" ref="BG15:BG17" si="10">IF(ISNUMBER((AY15+AZ15)/BA15),(AY15+AZ15)/BA15," - ")</f>
        <v>2.1100757134536985</v>
      </c>
      <c r="BH15" s="154">
        <v>6</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266</v>
      </c>
      <c r="J18" s="182">
        <v>545</v>
      </c>
      <c r="K18" s="182">
        <v>479</v>
      </c>
      <c r="L18" s="182">
        <v>329</v>
      </c>
      <c r="M18" s="182">
        <v>33</v>
      </c>
      <c r="N18" s="182">
        <v>365</v>
      </c>
      <c r="O18" s="182">
        <v>0</v>
      </c>
      <c r="P18" s="182">
        <v>4</v>
      </c>
      <c r="Q18" s="182">
        <v>5</v>
      </c>
      <c r="R18" s="182">
        <v>8</v>
      </c>
      <c r="S18" s="182">
        <v>138</v>
      </c>
      <c r="T18" s="182">
        <v>449</v>
      </c>
      <c r="U18" s="182">
        <v>435</v>
      </c>
      <c r="V18" s="182">
        <v>152</v>
      </c>
      <c r="W18" s="182">
        <v>22</v>
      </c>
      <c r="X18" s="188">
        <v>286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138</v>
      </c>
      <c r="AZ18" s="129">
        <f t="shared" si="19"/>
        <v>449</v>
      </c>
      <c r="BA18" s="129">
        <f t="shared" si="19"/>
        <v>435</v>
      </c>
      <c r="BB18" s="129">
        <f t="shared" si="19"/>
        <v>152</v>
      </c>
      <c r="BC18" s="125">
        <f>IF(ISNUMBER(W18),W18," - ")</f>
        <v>22</v>
      </c>
      <c r="BD18" s="126">
        <f>IF(ISNUMBER(BA18/AZ18),BA18/AZ18," - ")</f>
        <v>0.9688195991091314</v>
      </c>
      <c r="BE18" s="127">
        <f>IF(ISNUMBER(BB18/BA18),BB18/BA18, " - ")</f>
        <v>0.34942528735632183</v>
      </c>
      <c r="BF18" s="127">
        <f>IF(ISNUMBER(BC18/BA18),BC18/BA18, " - ")</f>
        <v>5.057471264367816E-2</v>
      </c>
      <c r="BG18" s="195">
        <f>IF(ISNUMBER((AY18+AZ18)/BA18),(AY18+AZ18)/BA18," - ")</f>
        <v>1.3494252873563219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8432</v>
      </c>
      <c r="J19" s="183">
        <f t="shared" si="20"/>
        <v>6190</v>
      </c>
      <c r="K19" s="183">
        <f t="shared" si="20"/>
        <v>5366</v>
      </c>
      <c r="L19" s="183">
        <f t="shared" si="20"/>
        <v>9322</v>
      </c>
      <c r="M19" s="183">
        <f t="shared" si="20"/>
        <v>672</v>
      </c>
      <c r="N19" s="183">
        <f t="shared" si="20"/>
        <v>3180</v>
      </c>
      <c r="O19" s="183">
        <f t="shared" si="20"/>
        <v>147</v>
      </c>
      <c r="P19" s="183">
        <f t="shared" si="20"/>
        <v>276</v>
      </c>
      <c r="Q19" s="183">
        <f t="shared" si="20"/>
        <v>219</v>
      </c>
      <c r="R19" s="183">
        <f t="shared" si="20"/>
        <v>693</v>
      </c>
      <c r="S19" s="183">
        <f t="shared" si="20"/>
        <v>5436</v>
      </c>
      <c r="T19" s="183">
        <f t="shared" si="20"/>
        <v>6020</v>
      </c>
      <c r="U19" s="183">
        <f t="shared" si="20"/>
        <v>5586</v>
      </c>
      <c r="V19" s="183">
        <f t="shared" si="20"/>
        <v>5977</v>
      </c>
      <c r="W19" s="183">
        <f t="shared" si="20"/>
        <v>679</v>
      </c>
      <c r="X19" s="183">
        <f t="shared" si="20"/>
        <v>3220</v>
      </c>
      <c r="Y19" s="183">
        <f t="shared" si="20"/>
        <v>0</v>
      </c>
      <c r="Z19" s="183">
        <f t="shared" si="20"/>
        <v>0</v>
      </c>
      <c r="AA19" s="183">
        <f t="shared" si="20"/>
        <v>0</v>
      </c>
      <c r="AB19" s="183">
        <f t="shared" si="20"/>
        <v>0</v>
      </c>
      <c r="AC19" s="183">
        <f t="shared" si="20"/>
        <v>462</v>
      </c>
      <c r="AD19" s="183">
        <f t="shared" si="20"/>
        <v>299</v>
      </c>
      <c r="AE19" s="183">
        <f t="shared" si="20"/>
        <v>269</v>
      </c>
      <c r="AF19" s="183">
        <f t="shared" si="20"/>
        <v>492</v>
      </c>
      <c r="AG19" s="183">
        <f t="shared" si="20"/>
        <v>0</v>
      </c>
      <c r="AH19" s="183">
        <f t="shared" si="20"/>
        <v>0</v>
      </c>
      <c r="AI19" s="183">
        <f t="shared" si="20"/>
        <v>0</v>
      </c>
      <c r="AJ19" s="183">
        <f t="shared" si="20"/>
        <v>0</v>
      </c>
      <c r="AK19" s="183">
        <f t="shared" si="20"/>
        <v>170</v>
      </c>
      <c r="AL19" s="183">
        <f t="shared" si="20"/>
        <v>807</v>
      </c>
      <c r="AM19" s="183">
        <f t="shared" si="20"/>
        <v>689</v>
      </c>
      <c r="AN19" s="183">
        <f t="shared" si="20"/>
        <v>288</v>
      </c>
      <c r="AO19" s="183">
        <f t="shared" si="20"/>
        <v>8</v>
      </c>
      <c r="AP19" s="183">
        <f t="shared" si="20"/>
        <v>8</v>
      </c>
      <c r="AQ19" s="183">
        <f t="shared" si="20"/>
        <v>8</v>
      </c>
      <c r="AR19" s="183">
        <f t="shared" si="20"/>
        <v>8</v>
      </c>
      <c r="AS19" s="183">
        <f t="shared" si="20"/>
        <v>0</v>
      </c>
      <c r="AT19" s="183">
        <f t="shared" si="20"/>
        <v>0</v>
      </c>
      <c r="AU19" s="203"/>
      <c r="AV19" s="132"/>
      <c r="AW19" s="203"/>
      <c r="AX19" s="132"/>
      <c r="AY19" s="183">
        <f>SUBTOTAL(9,AY14:AY18)</f>
        <v>5436</v>
      </c>
      <c r="AZ19" s="183">
        <f>SUBTOTAL(9,AZ14:AZ18)</f>
        <v>6020</v>
      </c>
      <c r="BA19" s="183">
        <f>SUBTOTAL(9,BA14:BA18)</f>
        <v>5586</v>
      </c>
      <c r="BB19" s="183">
        <f>SUBTOTAL(9,BB14:BB18)</f>
        <v>5977</v>
      </c>
      <c r="BC19" s="183">
        <f>SUBTOTAL(9,BC14:BC18)</f>
        <v>679</v>
      </c>
      <c r="BD19" s="204">
        <f>IF(ISNUMBER(BA19/AZ19),BA19/AZ19," - ")</f>
        <v>0.9279069767441861</v>
      </c>
      <c r="BE19" s="205">
        <f>IF(ISNUMBER(BB19/BA19),BB19/BA19, " - ")</f>
        <v>1.0699964196204799</v>
      </c>
      <c r="BF19" s="205">
        <f>IF(ISNUMBER(BC19/BA19),BC19/BA19, " - ")</f>
        <v>0.12155388471177944</v>
      </c>
      <c r="BG19" s="206">
        <f>IF(ISNUMBER((AY19+AZ19)/BA19),(AY19+AZ19)/BA19," - ")</f>
        <v>2.0508413891872537</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25064</v>
      </c>
      <c r="J20" s="134">
        <f t="shared" si="23"/>
        <v>13497</v>
      </c>
      <c r="K20" s="134">
        <f t="shared" si="23"/>
        <v>12165</v>
      </c>
      <c r="L20" s="134">
        <f t="shared" si="23"/>
        <v>26461</v>
      </c>
      <c r="M20" s="134">
        <f t="shared" si="23"/>
        <v>3720</v>
      </c>
      <c r="N20" s="134">
        <f t="shared" si="23"/>
        <v>5693</v>
      </c>
      <c r="O20" s="134">
        <f t="shared" si="23"/>
        <v>3049</v>
      </c>
      <c r="P20" s="134">
        <f t="shared" si="23"/>
        <v>2087</v>
      </c>
      <c r="Q20" s="134">
        <f t="shared" si="23"/>
        <v>1880</v>
      </c>
      <c r="R20" s="134">
        <f t="shared" si="23"/>
        <v>27923</v>
      </c>
      <c r="S20" s="134">
        <f t="shared" si="23"/>
        <v>25816</v>
      </c>
      <c r="T20" s="134">
        <f t="shared" si="23"/>
        <v>14833</v>
      </c>
      <c r="U20" s="134">
        <f t="shared" si="23"/>
        <v>13899</v>
      </c>
      <c r="V20" s="134">
        <f t="shared" si="23"/>
        <v>27211</v>
      </c>
      <c r="W20" s="134">
        <f t="shared" si="23"/>
        <v>3350</v>
      </c>
      <c r="X20" s="134">
        <f t="shared" si="23"/>
        <v>6557</v>
      </c>
      <c r="Y20" s="134">
        <f t="shared" si="23"/>
        <v>519</v>
      </c>
      <c r="Z20" s="134">
        <f t="shared" si="23"/>
        <v>558</v>
      </c>
      <c r="AA20" s="134">
        <f t="shared" si="23"/>
        <v>682</v>
      </c>
      <c r="AB20" s="134">
        <f t="shared" si="23"/>
        <v>395</v>
      </c>
      <c r="AC20" s="134">
        <f t="shared" si="23"/>
        <v>462</v>
      </c>
      <c r="AD20" s="134">
        <f t="shared" si="23"/>
        <v>299</v>
      </c>
      <c r="AE20" s="134">
        <f t="shared" si="23"/>
        <v>269</v>
      </c>
      <c r="AF20" s="134">
        <f t="shared" si="23"/>
        <v>492</v>
      </c>
      <c r="AG20" s="134">
        <f t="shared" si="23"/>
        <v>380</v>
      </c>
      <c r="AH20" s="134">
        <f t="shared" si="23"/>
        <v>581</v>
      </c>
      <c r="AI20" s="134">
        <f t="shared" si="23"/>
        <v>448</v>
      </c>
      <c r="AJ20" s="134">
        <f t="shared" si="23"/>
        <v>460</v>
      </c>
      <c r="AK20" s="134">
        <f t="shared" si="23"/>
        <v>170</v>
      </c>
      <c r="AL20" s="134">
        <f t="shared" si="23"/>
        <v>807</v>
      </c>
      <c r="AM20" s="134">
        <f t="shared" si="23"/>
        <v>689</v>
      </c>
      <c r="AN20" s="209">
        <f t="shared" si="23"/>
        <v>288</v>
      </c>
      <c r="AO20" s="210">
        <v>23</v>
      </c>
      <c r="AP20" s="210">
        <v>23</v>
      </c>
      <c r="AQ20" s="210">
        <v>23</v>
      </c>
      <c r="AR20" s="210">
        <v>23</v>
      </c>
      <c r="AS20" s="152">
        <f t="shared" si="23"/>
        <v>0</v>
      </c>
      <c r="AT20" s="152">
        <f t="shared" si="23"/>
        <v>0</v>
      </c>
      <c r="AU20" s="210"/>
      <c r="AV20" s="211"/>
      <c r="AW20" s="210"/>
      <c r="AX20" s="211"/>
      <c r="AY20" s="133">
        <f>SUBTOTAL(9,AY9:AY19)</f>
        <v>26196</v>
      </c>
      <c r="AZ20" s="134">
        <f>SUBTOTAL(9,AZ9:AZ19)</f>
        <v>15414</v>
      </c>
      <c r="BA20" s="134">
        <f>SUBTOTAL(9,BA9:BA19)</f>
        <v>14347</v>
      </c>
      <c r="BB20" s="134">
        <f>SUBTOTAL(9,BB9:BB19)</f>
        <v>27671</v>
      </c>
      <c r="BC20" s="135">
        <f>SUBTOTAL(9,BC9:BC19)</f>
        <v>4005</v>
      </c>
      <c r="BD20" s="212">
        <f>IF(ISNUMBER(BA20/AZ20),BA20/AZ20," - ")</f>
        <v>0.9307772155183599</v>
      </c>
      <c r="BE20" s="209">
        <f>IF(ISNUMBER(BB20/BA20),BB20/BA20, " - ")</f>
        <v>1.928695894612114</v>
      </c>
      <c r="BF20" s="209">
        <f>IF(ISNUMBER(BC20/BA20),BC20/BA20, " - ")</f>
        <v>0.27915243604934831</v>
      </c>
      <c r="BG20" s="135">
        <f>IF(ISNUMBER((AY20+AZ20)/BA20),(AY20+AZ20)/BA20," - ")</f>
        <v>2.9002578936363004</v>
      </c>
      <c r="BH20" s="210">
        <f>SUBTOTAL(9,BH9:BH19)</f>
        <v>26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jiRpbxoWghIU7mIEzzEiWJioXLQrupc9pSh5U2nswAxDh5EkzHtufS9HsY8aowlxlTpY2/T0yQNmM6jNrAuxA==" saltValue="cIDhVtUuuqcU9UmDpGTgm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VALLADOLID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4qIxI4fqyJ6gEL1/grUt2NmQTwhdB6/D6MwfspGGoELeCe6YFNuNwG2TIO9at5FNSBxPOI5mwN7YNI9vJK7Vw==" saltValue="hdJHyTTCbxXYLa+HaXv8L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VALLADOLID  Resumenes por Partidos Judiciales  VALLADOLID</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12</v>
      </c>
      <c r="B9" s="500" t="s">
        <v>247</v>
      </c>
      <c r="C9" s="159" t="str">
        <f>Datos!A9</f>
        <v>Sección Civil del T.I</v>
      </c>
      <c r="D9" s="501"/>
      <c r="E9" s="259">
        <f>IF(ISNUMBER(Datos!AQ9),Datos!AQ9," - ")</f>
        <v>12</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257</v>
      </c>
      <c r="O9" s="333"/>
      <c r="P9" s="333"/>
      <c r="Q9" s="225">
        <f>IF(ISNUMBER(Datos!P9),Datos!P9,0)</f>
        <v>1710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1546</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256</v>
      </c>
      <c r="AI9" s="333" t="str">
        <f>IF(ISNUMBER(Datos!CD9),Datos!CD9,"-")</f>
        <v>-</v>
      </c>
      <c r="AJ9" s="333" t="str">
        <f>IF(ISNUMBER(Datos!EN9),Datos!EN9," - ")</f>
        <v xml:space="preserve"> - </v>
      </c>
      <c r="AK9" s="333"/>
      <c r="AL9" s="478"/>
      <c r="AM9" s="334">
        <f>IF(ISNUMBER(Datos!R9),Datos!R9," - ")</f>
        <v>26194</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2813</v>
      </c>
      <c r="BD9" s="228">
        <f>IF(ISNUMBER(Datos!N9),Datos!N9," - ")</f>
        <v>2076</v>
      </c>
      <c r="BE9" s="228" t="str">
        <f>IF(ISNUMBER(Datos!BW9),Datos!BW9," - ")</f>
        <v xml:space="preserve"> - </v>
      </c>
      <c r="BF9" s="227" t="str">
        <f>IF(ISNUMBER(Datos!BX9),Datos!BX9," - ")</f>
        <v xml:space="preserve"> - </v>
      </c>
      <c r="BG9" s="242">
        <f>IF(ISNUMBER(IF(J_V="SI",Datos!K9/Datos!J9,(Datos!K9+Datos!AA9)/(Datos!J9+Datos!Z9))),IF(J_V="SI",Datos!K9/Datos!J9,(Datos!K9+Datos!AA9)/(Datos!J9+Datos!Z9))," - ")</f>
        <v>0.94663406214039125</v>
      </c>
      <c r="BH9" s="259">
        <f>IF(ISNUMBER(((IF(J_V="SI",Datos!L9/Datos!K9,(Datos!L9+Datos!AB9)/(Datos!K9+Datos!AA9)))*11)/factor_trimestre),((IF(J_V="SI",Datos!L9/Datos!K9,(Datos!L9+Datos!AB9)/(Datos!K9+Datos!AA9)))*11)/factor_trimestre," - ")</f>
        <v>7.4760674669503118</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6.3004225893200155E-3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135</v>
      </c>
      <c r="G10" s="332">
        <f>IF(ISNUMBER(Datos!I10),Datos!I10," - ")</f>
        <v>135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67</v>
      </c>
      <c r="AC10" s="225">
        <f>IF(ISNUMBER(Datos!Q10),Datos!Q10," - ")</f>
        <v>5</v>
      </c>
      <c r="AD10" s="333"/>
      <c r="AE10" s="483"/>
      <c r="AF10" s="331">
        <f>IF(ISNUMBER(Datos!L10),Datos!L10,"-")</f>
        <v>145</v>
      </c>
      <c r="AG10" s="333"/>
      <c r="AH10" s="333"/>
      <c r="AI10" s="333"/>
      <c r="AJ10" s="333"/>
      <c r="AK10" s="333"/>
      <c r="AL10" s="478"/>
      <c r="AM10" s="334">
        <f>IF(ISNUMBER(Datos!R10),Datos!R10," - ")</f>
        <v>114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25</v>
      </c>
      <c r="BD10" s="228">
        <f>IF(ISNUMBER(Datos!N10),Datos!N10," - ")</f>
        <v>26</v>
      </c>
      <c r="BE10" s="228" t="str">
        <f>IF(ISNUMBER(Datos!BW10),Datos!BW10," - ")</f>
        <v xml:space="preserve"> - </v>
      </c>
      <c r="BF10" s="227" t="str">
        <f>IF(ISNUMBER(Datos!BX10),Datos!BX10," - ")</f>
        <v xml:space="preserve"> - </v>
      </c>
      <c r="BG10" s="242">
        <f>IF(ISNUMBER(Datos!K10/Datos!J10),Datos!K10/Datos!J10," - ")</f>
        <v>0.87012987012987009</v>
      </c>
      <c r="BH10" s="259">
        <f>IF(ISNUMBER(((Datos!L10/Datos!K10)*11)/factor_trimestre),((Datos!L10/Datos!K10)*11)/factor_trimestre," - ")</f>
        <v>6.4925373134328348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4.5871559633027525E-2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3</v>
      </c>
      <c r="B11" s="506" t="s">
        <v>247</v>
      </c>
      <c r="C11" s="7" t="str">
        <f>Datos!A11</f>
        <v xml:space="preserve">Sección de Familia, infancia y capacidad del TI                           </v>
      </c>
      <c r="D11" s="507"/>
      <c r="E11" s="259">
        <f>IF(ISNUMBER(Datos!AQ11),Datos!AQ11," - ")</f>
        <v>3</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301</v>
      </c>
      <c r="O11" s="333"/>
      <c r="P11" s="333"/>
      <c r="Q11" s="225">
        <f>IF(ISNUMBER(Datos!P11),Datos!P11,0)</f>
        <v>91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110</v>
      </c>
      <c r="AD11" s="333"/>
      <c r="AE11" s="483"/>
      <c r="AF11" s="331" t="str">
        <f>IF(ISNUMBER(IF(J_V="SI",Datos!L11,Datos!L11+Datos!AB11)-IF(Monitorios="SI",Datos!CD11,0)),
                          IF(J_V="SI",Datos!L11,Datos!L11+Datos!AB11)-IF(Monitorios="SI",Datos!CD11,0),
                          " - ")</f>
        <v xml:space="preserve"> - </v>
      </c>
      <c r="AG11" s="333"/>
      <c r="AH11" s="333">
        <f>IF(ISNUMBER(Datos!AB11),Datos!AB11,"-")</f>
        <v>139</v>
      </c>
      <c r="AI11" s="333"/>
      <c r="AJ11" s="333"/>
      <c r="AK11" s="333"/>
      <c r="AL11" s="478"/>
      <c r="AM11" s="334">
        <f>IF(ISNUMBER(Datos!R11),Datos!R11," - ")</f>
        <v>922</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210</v>
      </c>
      <c r="BD11" s="228">
        <f>IF(ISNUMBER(Datos!N11),Datos!N11," - ")</f>
        <v>411</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0.99641148325358853</v>
      </c>
      <c r="BH11" s="259">
        <f>IF(ISNUMBER(((IF(J_V="SI",Datos!L11/Datos!K11,(Datos!L11+Datos!AB11)/(Datos!K11+Datos!AA11)))*11)/factor_trimestre),((IF(J_V="SI",Datos!L11/Datos!K11,(Datos!L11+Datos!AB11)/(Datos!K11+Datos!AA11)))*11)/factor_trimestre," - ")</f>
        <v>3.5618247298919568</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-2.0191285866099893E-2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17</v>
      </c>
      <c r="F13" s="895">
        <f t="shared" si="0"/>
        <v>135</v>
      </c>
      <c r="G13" s="895">
        <f t="shared" si="0"/>
        <v>135</v>
      </c>
      <c r="H13" s="896">
        <f t="shared" si="0"/>
        <v>0</v>
      </c>
      <c r="I13" s="895">
        <f t="shared" si="0"/>
        <v>0</v>
      </c>
      <c r="J13" s="864">
        <f t="shared" si="0"/>
        <v>0</v>
      </c>
      <c r="K13" s="864">
        <f t="shared" si="0"/>
        <v>0</v>
      </c>
      <c r="L13" s="896">
        <f t="shared" si="0"/>
        <v>0</v>
      </c>
      <c r="M13" s="896">
        <f t="shared" si="0"/>
        <v>0</v>
      </c>
      <c r="N13" s="896">
        <f t="shared" si="0"/>
        <v>558</v>
      </c>
      <c r="O13" s="897">
        <f t="shared" si="0"/>
        <v>0</v>
      </c>
      <c r="P13" s="897">
        <f t="shared" si="0"/>
        <v>0</v>
      </c>
      <c r="Q13" s="896">
        <f t="shared" si="0"/>
        <v>1811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67</v>
      </c>
      <c r="AC13" s="896">
        <f t="shared" si="1"/>
        <v>1661</v>
      </c>
      <c r="AD13" s="896">
        <f t="shared" si="1"/>
        <v>0</v>
      </c>
      <c r="AE13" s="896">
        <f t="shared" si="1"/>
        <v>0</v>
      </c>
      <c r="AF13" s="896">
        <f t="shared" si="1"/>
        <v>145</v>
      </c>
      <c r="AG13" s="896">
        <f t="shared" si="1"/>
        <v>0</v>
      </c>
      <c r="AH13" s="896">
        <f t="shared" si="1"/>
        <v>395</v>
      </c>
      <c r="AI13" s="896">
        <f t="shared" si="1"/>
        <v>0</v>
      </c>
      <c r="AJ13" s="896">
        <f t="shared" si="1"/>
        <v>0</v>
      </c>
      <c r="AK13" s="896">
        <f t="shared" si="1"/>
        <v>0</v>
      </c>
      <c r="AL13" s="896">
        <f t="shared" si="1"/>
        <v>0</v>
      </c>
      <c r="AM13" s="896">
        <f t="shared" si="1"/>
        <v>27230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3048</v>
      </c>
      <c r="BD13" s="896">
        <f t="shared" si="1"/>
        <v>2513</v>
      </c>
      <c r="BE13" s="896">
        <f t="shared" si="1"/>
        <v>0</v>
      </c>
      <c r="BF13" s="896">
        <f t="shared" si="1"/>
        <v>0</v>
      </c>
      <c r="BG13" s="896">
        <f>IF(ISNUMBER(Datos!K13/Datos!J13),Datos!K13/Datos!J13," - ")</f>
        <v>0.93047762419597646</v>
      </c>
      <c r="BH13" s="900">
        <f>IF(ISNUMBER(((Datos!L13/Datos!K13)*11)/factor_trimestre),((Datos!L13/Datos!K13)*11)/factor_trimestre," - ")</f>
        <v>7.5624356523018088</v>
      </c>
      <c r="BI13" s="896">
        <f>IF(ISNUMBER('Resol  Asuntos'!D13/NºAsuntos!G13),'Resol  Asuntos'!D13/NºAsuntos!G13," - ")</f>
        <v>0.40743216147573852</v>
      </c>
      <c r="BJ13" s="896" t="str">
        <f>IF(ISNUMBER(Datos!CI13/Datos!CJ13),Datos!CI13/Datos!CJ13," - ")</f>
        <v xml:space="preserve"> - </v>
      </c>
      <c r="BK13" s="896">
        <f>SUBTOTAL(9,BK8:BK12)</f>
        <v>0</v>
      </c>
      <c r="BL13" s="896">
        <f>IF(ISNUMBER((I13-AB13+L13)/(F13)),(I13-AB13+L13)/(F13)," - ")</f>
        <v>-0.49629629629629629</v>
      </c>
      <c r="BM13" s="901">
        <f>SUBTOTAL(9,BM9:BM12)</f>
        <v>3.1980696356247645E-2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6</v>
      </c>
      <c r="B15" s="593" t="s">
        <v>397</v>
      </c>
      <c r="C15" s="598" t="str">
        <f>Datos!A15</f>
        <v xml:space="preserve">Seccion Instruccion Del T.I.                   </v>
      </c>
      <c r="D15" s="599"/>
      <c r="E15" s="1160">
        <f>IF(ISNUMBER(Datos!AQ15),Datos!AQ15," - ")</f>
        <v>6</v>
      </c>
      <c r="F15" s="594">
        <f>IF(ISNUMBER(AF15+AB15-Datos!J15-L15),AF15+AB15-Datos!J15-L15," - ")</f>
        <v>8235</v>
      </c>
      <c r="G15" s="596">
        <f>IF(ISNUMBER(IF(D_I="SI",Datos!I15,Datos!I15+Datos!AC15)),IF(D_I="SI",Datos!I15,Datos!I15+Datos!AC15)," - ")</f>
        <v>8166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272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4887</v>
      </c>
      <c r="AC15" s="225">
        <f>IF(ISNUMBER(Datos!Q15),Datos!Q15," - ")</f>
        <v>214</v>
      </c>
      <c r="AD15" s="333"/>
      <c r="AE15" s="483"/>
      <c r="AF15" s="1192">
        <f>IF(ISNUMBER(IF(D_I="SI",Datos!L15,Datos!L15+Datos!AF15)),IF(D_I="SI",Datos!L15,Datos!L15+Datos!AF15)," - ")</f>
        <v>8993</v>
      </c>
      <c r="AG15" s="333"/>
      <c r="AH15" s="333"/>
      <c r="AI15" s="333"/>
      <c r="AJ15" s="333"/>
      <c r="AK15" s="333"/>
      <c r="AL15" s="478"/>
      <c r="AM15" s="334">
        <f>IF(ISNUMBER(Datos!R15),Datos!R15," - ")</f>
        <v>685</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639</v>
      </c>
      <c r="BD15" s="228">
        <f>IF(ISNUMBER(Datos!N15),Datos!N15," - ")</f>
        <v>2815</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0.86572187776793619</v>
      </c>
      <c r="BH15" s="259">
        <f>IF(ISNUMBER(((IF(D_I="SI",Datos!L15/Datos!K15,(Datos!L15+Datos!AF15)/(Datos!K15+Datos!AE15)))*11)/factor_trimestre),((IF(D_I="SI",Datos!L15/Datos!K15,(Datos!L15+Datos!AF15)/(Datos!K15+Datos!AE15)))*11)/factor_trimestre," - ")</f>
        <v>5.5205647636586859</v>
      </c>
      <c r="BI15" s="242">
        <f>IF(ISNUMBER('Resol  Asuntos'!D15/NºAsuntos!G15),'Resol  Asuntos'!D15/NºAsuntos!G15," - ")</f>
        <v>0.13075506445672191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266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479</v>
      </c>
      <c r="AC18" s="225">
        <f>IF(ISNUMBER(Datos!Q18),Datos!Q18," - ")</f>
        <v>5</v>
      </c>
      <c r="AD18" s="333"/>
      <c r="AE18" s="483"/>
      <c r="AF18" s="331">
        <f>IF(ISNUMBER(Datos!L18),Datos!L18,"-")</f>
        <v>329</v>
      </c>
      <c r="AG18" s="333"/>
      <c r="AH18" s="333"/>
      <c r="AI18" s="333"/>
      <c r="AJ18" s="333"/>
      <c r="AK18" s="333"/>
      <c r="AL18" s="478"/>
      <c r="AM18" s="334">
        <f>IF(ISNUMBER(Datos!R18),Datos!R18," - ")</f>
        <v>8</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33</v>
      </c>
      <c r="BD18" s="228">
        <f>IF(ISNUMBER(Datos!N18),Datos!N18," - ")</f>
        <v>365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0.87889908256880733</v>
      </c>
      <c r="BH18" s="259">
        <f>IF(ISNUMBER(((IF(D_I="SI",Datos!L18/Datos!K18,(Datos!L18+Datos!AF18)/(Datos!K18+Datos!AE18)))*11)/factor_trimestre),((IF(D_I="SI",Datos!L18/Datos!K18,(Datos!L18+Datos!AF18)/(Datos!K18+Datos!AE18)))*11)/factor_trimestre," - ")</f>
        <v>2.0605427974947808</v>
      </c>
      <c r="BI18" s="242">
        <f>IF(ISNUMBER('Resol  Asuntos'!D18/NºAsuntos!G18),'Resol  Asuntos'!D18/NºAsuntos!G18," - ")</f>
        <v>6.889352818371608E-2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8235</v>
      </c>
      <c r="G19" s="895">
        <f>SUBTOTAL(9,G15:G18)</f>
        <v>8432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276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5366</v>
      </c>
      <c r="AC19" s="896">
        <f t="shared" si="4"/>
        <v>219</v>
      </c>
      <c r="AD19" s="896">
        <f t="shared" si="4"/>
        <v>0</v>
      </c>
      <c r="AE19" s="896">
        <f t="shared" si="4"/>
        <v>0</v>
      </c>
      <c r="AF19" s="896">
        <f t="shared" si="4"/>
        <v>9322</v>
      </c>
      <c r="AG19" s="896">
        <f t="shared" si="4"/>
        <v>0</v>
      </c>
      <c r="AH19" s="896">
        <f t="shared" si="4"/>
        <v>0</v>
      </c>
      <c r="AI19" s="896">
        <f t="shared" si="4"/>
        <v>0</v>
      </c>
      <c r="AJ19" s="896">
        <f t="shared" si="4"/>
        <v>0</v>
      </c>
      <c r="AK19" s="896">
        <f t="shared" si="4"/>
        <v>0</v>
      </c>
      <c r="AL19" s="896">
        <f t="shared" si="4"/>
        <v>0</v>
      </c>
      <c r="AM19" s="896">
        <f t="shared" si="4"/>
        <v>693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672</v>
      </c>
      <c r="BD19" s="896">
        <f t="shared" si="4"/>
        <v>3180</v>
      </c>
      <c r="BE19" s="896">
        <f t="shared" si="4"/>
        <v>0</v>
      </c>
      <c r="BF19" s="896">
        <f t="shared" si="4"/>
        <v>0</v>
      </c>
      <c r="BG19" s="896">
        <f>IF(ISNUMBER(Datos!K19/Datos!J19),Datos!K19/Datos!J19," - ")</f>
        <v>0.86688206785137323</v>
      </c>
      <c r="BH19" s="900">
        <f>IF(ISNUMBER(((Datos!L19/Datos!K19)*11)/factor_trimestre),((Datos!L19/Datos!K19)*11)/factor_trimestre," - ")</f>
        <v>5.2117033171822582</v>
      </c>
      <c r="BI19" s="896">
        <f>SUBTOTAL(9,BI15:BI18)</f>
        <v>0.19964859264043799</v>
      </c>
      <c r="BJ19" s="896">
        <f>SUBTOTAL(9,BJ15:BJ18)</f>
        <v>0</v>
      </c>
      <c r="BK19" s="896">
        <f>SUBTOTAL(9,BK15:BK18)</f>
        <v>0</v>
      </c>
      <c r="BL19" s="896">
        <f>IF(ISNUMBER((I19-AB19+L19)/(F19)),(I19-AB19+L19)/(F19)," - ")</f>
        <v>-0.65160898603521555</v>
      </c>
      <c r="BM19" s="902">
        <f>IF(ISNUMBER((Datos!P19-Datos!Q19)/(Datos!R19-Datos!P19+Datos!Q19)),(Datos!P19-Datos!Q19)/(Datos!R19-Datos!P19+Datos!Q19)," - ")</f>
        <v>8.9622641509433956E-2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25</v>
      </c>
      <c r="F20" s="817">
        <f t="shared" si="6"/>
        <v>8370</v>
      </c>
      <c r="G20" s="817">
        <f t="shared" si="6"/>
        <v>8567</v>
      </c>
      <c r="H20" s="819">
        <f t="shared" si="6"/>
        <v>0</v>
      </c>
      <c r="I20" s="817">
        <f t="shared" si="6"/>
        <v>0</v>
      </c>
      <c r="J20" s="819">
        <f t="shared" si="6"/>
        <v>0</v>
      </c>
      <c r="K20" s="819">
        <f t="shared" si="6"/>
        <v>0</v>
      </c>
      <c r="L20" s="878">
        <f t="shared" si="6"/>
        <v>0</v>
      </c>
      <c r="M20" s="878">
        <f t="shared" si="6"/>
        <v>0</v>
      </c>
      <c r="N20" s="878">
        <f t="shared" si="6"/>
        <v>558</v>
      </c>
      <c r="O20" s="878">
        <f t="shared" si="6"/>
        <v>0</v>
      </c>
      <c r="P20" s="878">
        <f t="shared" si="6"/>
        <v>0</v>
      </c>
      <c r="Q20" s="819">
        <f t="shared" si="6"/>
        <v>2087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5433</v>
      </c>
      <c r="AC20" s="818">
        <f t="shared" si="7"/>
        <v>1880</v>
      </c>
      <c r="AD20" s="818">
        <f t="shared" si="7"/>
        <v>0</v>
      </c>
      <c r="AE20" s="818">
        <f t="shared" si="7"/>
        <v>0</v>
      </c>
      <c r="AF20" s="825">
        <f t="shared" si="7"/>
        <v>9467</v>
      </c>
      <c r="AG20" s="825">
        <f t="shared" si="7"/>
        <v>0</v>
      </c>
      <c r="AH20" s="825">
        <f t="shared" si="7"/>
        <v>395</v>
      </c>
      <c r="AI20" s="825">
        <f t="shared" si="7"/>
        <v>0</v>
      </c>
      <c r="AJ20" s="818">
        <f t="shared" si="7"/>
        <v>0</v>
      </c>
      <c r="AK20" s="825">
        <f t="shared" si="7"/>
        <v>0</v>
      </c>
      <c r="AL20" s="825">
        <f t="shared" si="7"/>
        <v>0</v>
      </c>
      <c r="AM20" s="825">
        <f t="shared" si="7"/>
        <v>27923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3720</v>
      </c>
      <c r="BD20" s="817">
        <f t="shared" si="7"/>
        <v>5693</v>
      </c>
      <c r="BE20" s="817">
        <f t="shared" si="7"/>
        <v>0</v>
      </c>
      <c r="BF20" s="827">
        <f t="shared" si="7"/>
        <v>0</v>
      </c>
      <c r="BG20" s="912">
        <f>IF(ISNUMBER(Datos!K20/Datos!J20),Datos!K20/Datos!J20," - ")</f>
        <v>0.90131140253389641</v>
      </c>
      <c r="BH20" s="912">
        <f>IF(ISNUMBER(((Datos!L20/Datos!K20)*11)/factor_trimestre),((Datos!L20/Datos!K20)*11)/factor_trimestre," - ")</f>
        <v>6.5255240443896421</v>
      </c>
      <c r="BI20" s="810">
        <f>IF(ISNUMBER(Datos!J20/Datos!I20),Datos!J20/Datos!I20," - ")</f>
        <v>0.53850143632301306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-0.64910394265232974</v>
      </c>
      <c r="BM20" s="886">
        <f>IF(ISNUMBER((Datos!P20-Datos!Q20+R20)/(Datos!R20-Datos!P20+Datos!Q20-R20)),(Datos!P20-Datos!Q20+R20)/(Datos!R20-Datos!P20+Datos!Q20-R20)," - ")</f>
        <v>7.4686101890604701E-3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3426.8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5.7735026918962582</v>
      </c>
      <c r="F22" s="550">
        <f>IF(ISNUMBER(STDEV(F8:F19)),STDEV(F8:F19),"-")</f>
        <v>4676.5371804359684</v>
      </c>
      <c r="G22" s="551">
        <f>IF(ISNUMBER(STDEV(G8:G19)),STDEV(G8:G19),"-")</f>
        <v>4449.0053607519958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2706.5269627328676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1303.9257939739041</v>
      </c>
      <c r="BD22" s="550"/>
      <c r="BE22" s="550">
        <f>IF(ISNUMBER(STDEV(BE8:BE19)),STDEV(BE8:BE19),"-")</f>
        <v>0</v>
      </c>
      <c r="BF22" s="555">
        <f>IF(ISNUMBER(STDEV(BF8:BF19)),STDEV(BF8:BF19),"-")</f>
        <v>0</v>
      </c>
      <c r="BG22" s="772">
        <f>IF(ISNUMBER(STDEV(BG8:BG19)),STDEV(BG8:BG19),"-")</f>
        <v>5.0946797523687838E-2</v>
      </c>
      <c r="BH22" s="773">
        <f>IF(ISNUMBER(STDEV(BH8:BH19)),STDEV(BH8:BH19),"-")</f>
        <v>2.0314045824926046</v>
      </c>
      <c r="BI22" s="248">
        <f>IF(ISNUMBER(STDEV(BI8:BI19)),STDEV(BI8:BI19),"-")</f>
        <v>0.14719677546875054</v>
      </c>
      <c r="BJ22" s="229" t="str">
        <f>IF(ISNUMBER(BL22/BM22),BL22/BM22," - ")</f>
        <v xml:space="preserve"> - </v>
      </c>
      <c r="BK22" s="574"/>
      <c r="BL22" s="558">
        <f>IF(ISNUMBER(STDEV(BL8:BL19)),STDEV(BL8:BL19),"-")</f>
        <v>0.10982265611871182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qTf45YX79/R9nJ2+oCIM/oao9pNzXT8KH9fONUXrp5bsctoDURXw299CocpuO6MYbh2ZbPCqcSV6GiRsyA8xw==" saltValue="Wo/tOe35VlMBxFi29q/eZ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VALLADOLID  Resumenes por Partidos Judiciales  VALLADOLID</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12</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1710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1546</v>
      </c>
      <c r="AA9" s="331" t="str">
        <f>IF(ISNUMBER(IF(J_V="SI",Datos!L9,Datos!L9+Datos!AB9)-IF(Monitorios="SI",Datos!CD9,0)),
                          IF(J_V="SI",Datos!L9,Datos!L9+Datos!AB9)-IF(Monitorios="SI",Datos!CD9,0),
                          " - ")</f>
        <v xml:space="preserve"> - </v>
      </c>
      <c r="AB9" s="333"/>
      <c r="AC9" s="333"/>
      <c r="AD9" s="483"/>
      <c r="AE9" s="483">
        <f>IF(ISNUMBER(Datos!R9),Datos!R9," - ")</f>
        <v>26194</v>
      </c>
      <c r="AF9" s="228" t="str">
        <f>IF(ISNUMBER(Datos!BV9),Datos!BV9," - ")</f>
        <v xml:space="preserve"> - </v>
      </c>
      <c r="AG9" s="224" t="str">
        <f>IF(ISNUMBER(Datos!DV9),Datos!DV9," - ")</f>
        <v xml:space="preserve"> - </v>
      </c>
      <c r="AH9" s="297"/>
      <c r="AI9" s="226"/>
      <c r="AJ9" s="224">
        <f>IF(ISNUMBER(Datos!M9),Datos!M9," - ")</f>
        <v>2813</v>
      </c>
      <c r="AK9" s="228">
        <f>IF(ISNUMBER(Datos!N9),Datos!N9," - ")</f>
        <v>2076</v>
      </c>
      <c r="AL9" s="228" t="str">
        <f>IF(ISNUMBER(Datos!BW9),Datos!BW9," - ")</f>
        <v xml:space="preserve"> - </v>
      </c>
      <c r="AM9" s="227" t="str">
        <f>IF(ISNUMBER(Datos!BX9),Datos!BX9," - ")</f>
        <v xml:space="preserve"> - </v>
      </c>
      <c r="AN9" s="242"/>
      <c r="AO9" s="259">
        <f>IF(ISNUMBER(((NºAsuntos!I9/NºAsuntos!G9)*11)/factor_trimestre),((NºAsuntos!I9/NºAsuntos!G9)*11)/factor_trimestre," - ")</f>
        <v>7.4760674669503118</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6.3004225893200155E-3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135</v>
      </c>
      <c r="G10" s="224">
        <f>IF(ISNUMBER(Datos!I10),Datos!I10," - ")</f>
        <v>135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67</v>
      </c>
      <c r="Z10" s="617">
        <f>IF(ISNUMBER(Datos!Q10),Datos!Q10," - ")</f>
        <v>5</v>
      </c>
      <c r="AA10" s="331">
        <f>IF(ISNUMBER(Datos!L10),Datos!L10,"-")</f>
        <v>145</v>
      </c>
      <c r="AB10" s="333"/>
      <c r="AC10" s="333"/>
      <c r="AD10" s="483"/>
      <c r="AE10" s="483">
        <f>IF(ISNUMBER(Datos!R10),Datos!R10," - ")</f>
        <v>114</v>
      </c>
      <c r="AF10" s="228" t="str">
        <f>IF(ISNUMBER(Datos!BV10),Datos!BV10," - ")</f>
        <v xml:space="preserve"> - </v>
      </c>
      <c r="AG10" s="224" t="str">
        <f>IF(ISNUMBER(Datos!DV10),Datos!DV10," - ")</f>
        <v xml:space="preserve"> - </v>
      </c>
      <c r="AH10" s="297"/>
      <c r="AI10" s="226"/>
      <c r="AJ10" s="224">
        <f>IF(ISNUMBER(Datos!M10),Datos!M10," - ")</f>
        <v>25</v>
      </c>
      <c r="AK10" s="228">
        <f>IF(ISNUMBER(Datos!N10),Datos!N10," - ")</f>
        <v>26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6.4925373134328348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4.5871559633027525E-2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3</v>
      </c>
      <c r="B11" s="506" t="s">
        <v>247</v>
      </c>
      <c r="C11" s="7" t="str">
        <f>Datos!A11</f>
        <v xml:space="preserve">Sección de Familia, infancia y capacidad del TI                           </v>
      </c>
      <c r="D11" s="507"/>
      <c r="E11" s="1163">
        <f>IF(ISNUMBER(Datos!AQ11),Datos!AQ11," - ")</f>
        <v>3</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91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110</v>
      </c>
      <c r="AA11" s="331" t="str">
        <f>IF(ISNUMBER(IF(J_V="SI",Datos!L11,Datos!L11+Datos!AB11)-IF(Monitorios="SI",Datos!CD11,0)),
                          IF(J_V="SI",Datos!L11,Datos!L11+Datos!AB11)-IF(Monitorios="SI",Datos!CD11,0),
                          " - ")</f>
        <v xml:space="preserve"> - </v>
      </c>
      <c r="AB11" s="333"/>
      <c r="AC11" s="333"/>
      <c r="AD11" s="483"/>
      <c r="AE11" s="483">
        <f>IF(ISNUMBER(Datos!R11),Datos!R11," - ")</f>
        <v>922</v>
      </c>
      <c r="AF11" s="228" t="str">
        <f>IF(ISNUMBER(Datos!BV11),Datos!BV11," - ")</f>
        <v xml:space="preserve"> - </v>
      </c>
      <c r="AG11" s="224" t="str">
        <f>IF(ISNUMBER(Datos!DV11),Datos!DV11," - ")</f>
        <v xml:space="preserve"> - </v>
      </c>
      <c r="AH11" s="297"/>
      <c r="AI11" s="226"/>
      <c r="AJ11" s="224">
        <f>IF(ISNUMBER(Datos!M11),Datos!M11," - ")</f>
        <v>210</v>
      </c>
      <c r="AK11" s="228">
        <f>IF(ISNUMBER(Datos!N11),Datos!N11," - ")</f>
        <v>411</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3.5618247298919568</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-2.0191285866099893E-2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17</v>
      </c>
      <c r="F13" s="895">
        <f>SUBTOTAL(9,F8:F12)</f>
        <v>135</v>
      </c>
      <c r="G13" s="895">
        <f>SUBTOTAL(9,G8:G12)</f>
        <v>135</v>
      </c>
      <c r="H13" s="905"/>
      <c r="I13" s="895">
        <f t="shared" ref="I13:N13" si="0">SUBTOTAL(9,I8:I12)</f>
        <v>0</v>
      </c>
      <c r="J13" s="864">
        <f t="shared" si="0"/>
        <v>0</v>
      </c>
      <c r="K13" s="905">
        <f t="shared" si="0"/>
        <v>0</v>
      </c>
      <c r="L13" s="905">
        <f t="shared" si="0"/>
        <v>0</v>
      </c>
      <c r="M13" s="905">
        <f t="shared" si="0"/>
        <v>0</v>
      </c>
      <c r="N13" s="905">
        <f t="shared" si="0"/>
        <v>1811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67</v>
      </c>
      <c r="Z13" s="904">
        <f t="shared" si="2"/>
        <v>1661</v>
      </c>
      <c r="AA13" s="897">
        <f t="shared" si="2"/>
        <v>145</v>
      </c>
      <c r="AB13" s="897">
        <f t="shared" si="2"/>
        <v>0</v>
      </c>
      <c r="AC13" s="897">
        <f t="shared" si="2"/>
        <v>0</v>
      </c>
      <c r="AD13" s="897">
        <f t="shared" si="2"/>
        <v>0</v>
      </c>
      <c r="AE13" s="897">
        <f t="shared" si="2"/>
        <v>27230</v>
      </c>
      <c r="AF13" s="905">
        <f t="shared" si="2"/>
        <v>0</v>
      </c>
      <c r="AG13" s="905">
        <f t="shared" si="2"/>
        <v>0</v>
      </c>
      <c r="AH13" s="905">
        <f t="shared" si="2"/>
        <v>0</v>
      </c>
      <c r="AI13" s="905">
        <f t="shared" si="2"/>
        <v>0</v>
      </c>
      <c r="AJ13" s="905">
        <f t="shared" si="2"/>
        <v>3048</v>
      </c>
      <c r="AK13" s="905">
        <f t="shared" si="2"/>
        <v>2513</v>
      </c>
      <c r="AL13" s="905">
        <f t="shared" si="2"/>
        <v>0</v>
      </c>
      <c r="AM13" s="905">
        <f t="shared" si="2"/>
        <v>0</v>
      </c>
      <c r="AN13" s="905">
        <f t="shared" si="2"/>
        <v>0</v>
      </c>
      <c r="AO13" s="901">
        <f>IF(ISNUMBER(((NºAsuntos!I13/NºAsuntos!G13)*11)/factor_trimestre),((NºAsuntos!I13/NºAsuntos!G13)*11)/factor_trimestre," - ")</f>
        <v>7.0314129127122049</v>
      </c>
      <c r="AP13" s="907" t="str">
        <f>IF(ISNUMBER(Datos!CI13/Datos!CJ13),Datos!CI13/Datos!CJ13," - ")</f>
        <v xml:space="preserve"> - </v>
      </c>
      <c r="AQ13" s="923">
        <f t="shared" ref="AQ13:AV13" si="3">SUBTOTAL(9,AQ9:AQ12)</f>
        <v>0</v>
      </c>
      <c r="AR13" s="923">
        <f t="shared" si="3"/>
        <v>3.1980696356247645E-2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6</v>
      </c>
      <c r="B15" s="506" t="s">
        <v>397</v>
      </c>
      <c r="C15" s="159" t="str">
        <f>Datos!A15</f>
        <v xml:space="preserve">Seccion Instruccion Del T.I.                   </v>
      </c>
      <c r="D15" s="501"/>
      <c r="E15" s="1163">
        <f>IF(ISNUMBER(Datos!AQ15),Datos!AQ15," - ")</f>
        <v>6</v>
      </c>
      <c r="F15" s="332">
        <f>IF(ISNUMBER(AA15+Y15-Datos!J15-K15),AA15+Y15-Datos!J15-K15," - ")</f>
        <v>8235</v>
      </c>
      <c r="G15" s="224">
        <f>IF(ISNUMBER(IF(D_I="SI",Datos!I15,Datos!I15+Datos!AC15)),IF(D_I="SI",Datos!I15,Datos!I15+Datos!AC15)," - ")</f>
        <v>8166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272</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4887</v>
      </c>
      <c r="Z15" s="617">
        <f>IF(ISNUMBER(Datos!Q15),Datos!Q15," - ")</f>
        <v>214</v>
      </c>
      <c r="AA15" s="331">
        <f>IF(ISNUMBER(IF(D_I="SI",Datos!L15,Datos!L15+Datos!AF15)),IF(D_I="SI",Datos!L15,Datos!L15+Datos!AF15)," - ")</f>
        <v>8993</v>
      </c>
      <c r="AB15" s="333"/>
      <c r="AC15" s="333"/>
      <c r="AD15" s="483"/>
      <c r="AE15" s="483">
        <f>IF(ISNUMBER(Datos!R15),Datos!R15," - ")</f>
        <v>685</v>
      </c>
      <c r="AF15" s="228" t="str">
        <f>IF(ISNUMBER(Datos!BV15),Datos!BV15," - ")</f>
        <v xml:space="preserve"> - </v>
      </c>
      <c r="AG15" s="224"/>
      <c r="AH15" s="297"/>
      <c r="AI15" s="226"/>
      <c r="AJ15" s="224">
        <f>IF(ISNUMBER(Datos!M15),Datos!M15," - ")</f>
        <v>639</v>
      </c>
      <c r="AK15" s="228">
        <f>IF(ISNUMBER(Datos!N15),Datos!N15," - ")</f>
        <v>2815</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5.5205647636586859</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266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479</v>
      </c>
      <c r="Z18" s="617">
        <f>IF(ISNUMBER(Datos!Q18),Datos!Q18," - ")</f>
        <v>5</v>
      </c>
      <c r="AA18" s="331">
        <f>IF(ISNUMBER(Datos!L18),Datos!L18,"-")</f>
        <v>329</v>
      </c>
      <c r="AB18" s="333"/>
      <c r="AC18" s="333"/>
      <c r="AD18" s="483"/>
      <c r="AE18" s="483">
        <f>IF(ISNUMBER(Datos!R18),Datos!R18," - ")</f>
        <v>8</v>
      </c>
      <c r="AF18" s="228" t="str">
        <f>IF(ISNUMBER(Datos!BV18),Datos!BV18," - ")</f>
        <v xml:space="preserve"> - </v>
      </c>
      <c r="AG18" s="224" t="str">
        <f>IF(ISNUMBER(Datos!DV18),Datos!DV18," - ")</f>
        <v xml:space="preserve"> - </v>
      </c>
      <c r="AH18" s="297"/>
      <c r="AI18" s="226"/>
      <c r="AJ18" s="224">
        <f>IF(ISNUMBER(Datos!M18),Datos!M18," - ")</f>
        <v>33</v>
      </c>
      <c r="AK18" s="228">
        <f>IF(ISNUMBER(Datos!N18),Datos!N18," - ")</f>
        <v>365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2.0605427974947808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8235</v>
      </c>
      <c r="G19" s="895">
        <f>SUBTOTAL(9,G15:G18)</f>
        <v>8432</v>
      </c>
      <c r="H19" s="927">
        <f>SUBTOTAL(9,H15:H18)</f>
        <v>0</v>
      </c>
      <c r="I19" s="908">
        <f>SUBTOTAL(9,I15:I18)</f>
        <v>0</v>
      </c>
      <c r="J19" s="864">
        <f>SUBTOTAL(9,J14:J18)</f>
        <v>0</v>
      </c>
      <c r="K19" s="927">
        <f t="shared" ref="K19:S19" si="4">SUBTOTAL(9,K15:K18)</f>
        <v>0</v>
      </c>
      <c r="L19" s="927">
        <f t="shared" si="4"/>
        <v>0</v>
      </c>
      <c r="M19" s="927">
        <f t="shared" si="4"/>
        <v>0</v>
      </c>
      <c r="N19" s="927">
        <f t="shared" si="4"/>
        <v>276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5366</v>
      </c>
      <c r="Z19" s="927">
        <f t="shared" si="5"/>
        <v>219</v>
      </c>
      <c r="AA19" s="927">
        <f t="shared" si="5"/>
        <v>9322</v>
      </c>
      <c r="AB19" s="927">
        <f t="shared" si="5"/>
        <v>0</v>
      </c>
      <c r="AC19" s="927">
        <f t="shared" si="5"/>
        <v>0</v>
      </c>
      <c r="AD19" s="927">
        <f t="shared" si="5"/>
        <v>0</v>
      </c>
      <c r="AE19" s="927">
        <f t="shared" si="5"/>
        <v>693</v>
      </c>
      <c r="AF19" s="927">
        <f t="shared" si="5"/>
        <v>0</v>
      </c>
      <c r="AG19" s="927">
        <f t="shared" si="5"/>
        <v>0</v>
      </c>
      <c r="AH19" s="927">
        <f t="shared" si="5"/>
        <v>0</v>
      </c>
      <c r="AI19" s="927">
        <f t="shared" si="5"/>
        <v>0</v>
      </c>
      <c r="AJ19" s="927">
        <f t="shared" si="5"/>
        <v>672</v>
      </c>
      <c r="AK19" s="927">
        <f t="shared" si="5"/>
        <v>3180</v>
      </c>
      <c r="AL19" s="927">
        <f t="shared" si="5"/>
        <v>0</v>
      </c>
      <c r="AM19" s="927">
        <f t="shared" si="5"/>
        <v>0</v>
      </c>
      <c r="AN19" s="927">
        <f t="shared" si="5"/>
        <v>0</v>
      </c>
      <c r="AO19" s="929">
        <f>IF(ISNUMBER(((NºAsuntos!I19/NºAsuntos!G19)*11)/factor_trimestre),((NºAsuntos!I19/NºAsuntos!G19)*11)/factor_trimestre," - ")</f>
        <v>5.2117033171822582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25</v>
      </c>
      <c r="F20" s="817">
        <f t="shared" si="7"/>
        <v>8370</v>
      </c>
      <c r="G20" s="817">
        <f t="shared" si="7"/>
        <v>8567</v>
      </c>
      <c r="H20" s="818">
        <f t="shared" si="7"/>
        <v>0</v>
      </c>
      <c r="I20" s="817">
        <f t="shared" si="7"/>
        <v>0</v>
      </c>
      <c r="J20" s="819">
        <f t="shared" si="7"/>
        <v>0</v>
      </c>
      <c r="K20" s="817">
        <f t="shared" si="7"/>
        <v>0</v>
      </c>
      <c r="L20" s="820">
        <f t="shared" si="7"/>
        <v>0</v>
      </c>
      <c r="M20" s="817">
        <f t="shared" si="7"/>
        <v>0</v>
      </c>
      <c r="N20" s="818">
        <f t="shared" si="7"/>
        <v>2087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5433</v>
      </c>
      <c r="Z20" s="824">
        <f t="shared" si="8"/>
        <v>1880</v>
      </c>
      <c r="AA20" s="825">
        <f t="shared" si="8"/>
        <v>9467</v>
      </c>
      <c r="AB20" s="825">
        <f t="shared" si="8"/>
        <v>0</v>
      </c>
      <c r="AC20" s="825">
        <f t="shared" si="8"/>
        <v>0</v>
      </c>
      <c r="AD20" s="826">
        <f t="shared" si="8"/>
        <v>0</v>
      </c>
      <c r="AE20" s="826">
        <f t="shared" si="8"/>
        <v>27923</v>
      </c>
      <c r="AF20" s="827">
        <f t="shared" si="8"/>
        <v>0</v>
      </c>
      <c r="AG20" s="828">
        <f t="shared" si="8"/>
        <v>0</v>
      </c>
      <c r="AH20" s="829">
        <f t="shared" si="8"/>
        <v>0</v>
      </c>
      <c r="AI20" s="827">
        <f t="shared" si="8"/>
        <v>0</v>
      </c>
      <c r="AJ20" s="817">
        <f t="shared" si="8"/>
        <v>3720</v>
      </c>
      <c r="AK20" s="817">
        <f t="shared" si="8"/>
        <v>5693</v>
      </c>
      <c r="AL20" s="817">
        <f t="shared" si="8"/>
        <v>0</v>
      </c>
      <c r="AM20" s="830">
        <f t="shared" si="8"/>
        <v>0</v>
      </c>
      <c r="AN20" s="820">
        <f>IF(ISNUMBER(Datos!K20/Datos!J20),Datos!K20/Datos!J20," - ")</f>
        <v>0.90131140253389641</v>
      </c>
      <c r="AO20" s="820">
        <f>IF(ISNUMBER(FIND("06",Criterios!A8,1)),(IF(ISNUMBER(((Datos!R20/Datos!Q20)*11)/factor_trimestre),((Datos!R20/Datos!Q20)*11)/factor_trimestre," - ")),(IF(ISNUMBER(((Datos!L20/Datos!K20)*11)/factor_trimestre),((Datos!L20/Datos!K20)*11)/factor_trimestre," - ")))</f>
        <v>6.5255240443896421</v>
      </c>
      <c r="AP20" s="831" t="str">
        <f>IF(ISNUMBER(Datos!CI20/Datos!CJ20),Datos!CI20/Datos!CJ20," - ")</f>
        <v xml:space="preserve"> - </v>
      </c>
      <c r="AQ20" s="831">
        <f>IF(OR(ISNUMBER(FIND("01",Criterios!A8,1)),ISNUMBER(FIND("02",Criterios!A8,1)),ISNUMBER(FIND("03",Criterios!A8,1)),ISNUMBER(FIND("04",Criterios!A8,1))),(J20-Y20+K20)/(F20-K20),(I20-Y20+K20)/(F20-K20))</f>
        <v>-0.64910394265232974</v>
      </c>
      <c r="AR20" s="831">
        <f>IF(ISNUMBER((Datos!P20-Datos!Q20+O20)/(Datos!R20-Datos!P20+Datos!Q20-O20)),(Datos!P20-Datos!Q20+O20)/(Datos!R20-Datos!P20+Datos!Q20-O20)," - ")</f>
        <v>7.4686101890604701E-3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3426.8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4676.5371804359684</v>
      </c>
      <c r="G22" s="551">
        <f>IF(ISNUMBER(STDEV(G8:G19)),STDEV(G8:G19),"-")</f>
        <v>4449.0053607519958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1303.9257939739041</v>
      </c>
      <c r="AK22" s="251"/>
      <c r="AL22" s="251">
        <f>IF(ISNUMBER(STDEV(AL8:AL19)),STDEV(AL8:AL19),"-")</f>
        <v>0</v>
      </c>
      <c r="AM22" s="253">
        <f>IF(ISNUMBER(STDEV(AM8:AM19)),STDEV(AM8:AM19),"-")</f>
        <v>0</v>
      </c>
      <c r="AN22" s="538">
        <f>IF(ISNUMBER(STDEV(AN8:AN19)),STDEV(AN8:AN19),"-")</f>
        <v>0</v>
      </c>
      <c r="AO22" s="539">
        <f>IF(ISNUMBER(STDEV(AO8:AO19)),STDEV(AO8:AO19),"-")</f>
        <v>1.945838416175556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idOUP/ZKv+mIAA4fnxNe3vONXcg16WqUCxa87txYjNOAn7wK6bzOSBJ2zuE9I9a/jEUKbAv54PLcc8F6TsJWA==" saltValue="8TTPY7E+MuYfViBFnxh0A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RB8j5U2yyc3clqfyMF6BsdX5Ka+qsLKG53zCMjZZmCP61Hy+7M4acbjiOJdd4F0HGGKNzzpOQYglS4zgyNDew==" saltValue="advYQFjK1PgahtsAjBGEH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VALLADOLID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32mdhr5FUiQaV+KNGESKGBLDwWej3Ld9oz3iVtAfO7U91HeV2YabJbBeSy1eEucztJG1PtihYJmvu2XOvPuJQ==" saltValue="CUqAE6ns3T1N78U0M9pBz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VALLADOLID  Resumenes por Partidos Judiciales  VALLADOLID</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0.40743216147573852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0.28809804425298713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pzzCa1W33AQUj5KKQhHokuay89yyUJ9wB/l1G8qeTrKkL63/1eBn4P3HIzKBMu9fCgY2t+0gTnVrW8vOZmT8Zw==" saltValue="o9ciXFveMhU0II7afBhHF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A+Wbm7IvJbwrICkeqh8mdV5G5SH5n9kMga6W2/0SfSDGEgQrt33w8jDKn5esgaqaHib5StNHlAdXt57BSQKZw==" saltValue="jzhIAyRxJjvOf7hT7ECL+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VALLADOLID  Resumenes por Partidos Judiciales  VALLADOLID</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12</v>
      </c>
      <c r="B9" s="500" t="s">
        <v>247</v>
      </c>
      <c r="C9" s="159" t="str">
        <f>Datos!A9</f>
        <v>Sección Civil del T.I</v>
      </c>
      <c r="D9" s="501"/>
      <c r="E9" s="679">
        <f>IF(ISNUMBER(Datos!AQ9),Datos!AQ9," - ")</f>
        <v>12</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135</v>
      </c>
      <c r="G10" s="681">
        <f>IF(ISNUMBER(Datos!I10),Datos!I10," - ")</f>
        <v>135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67</v>
      </c>
      <c r="AC10" s="680" t="str">
        <f>IF(ISNUMBER(IF(D_I="SI",DatosP!K18,DatosP!K18+DatosP!AE18)),IF(D_I="SI",DatosP!K18,DatosP!K18+DatosP!AE18)," - ")</f>
        <v xml:space="preserve"> - </v>
      </c>
      <c r="AD10" s="682"/>
      <c r="AE10" s="682"/>
      <c r="AF10" s="685">
        <f>IF(ISNUMBER(Datos!L10),Datos!L10,"-")</f>
        <v>145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25</v>
      </c>
      <c r="AM10" s="687">
        <f>IF(ISNUMBER(Datos!N10+DatosP!N18),Datos!N10+DatosP!N18," - ")</f>
        <v>26</v>
      </c>
      <c r="AN10" s="687">
        <f>IF(ISNUMBER(Datos!BW10+DatosP!BW18),Datos!BW10+DatosP!BW18," - ")</f>
        <v>0</v>
      </c>
      <c r="AO10" s="688">
        <f>IF(ISNUMBER(Datos!BX10+DatosP!BX18),Datos!BX10+DatosP!BX18," - ")</f>
        <v>0</v>
      </c>
      <c r="AP10" s="690">
        <f>IF(ISNUMBER(((Datos!L10/Datos!K10)*11)/factor_trimestre),((Datos!L10/Datos!K10)*11)/factor_trimestre," - ")</f>
        <v>6.4925373134328348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3</v>
      </c>
      <c r="B11" s="506" t="s">
        <v>247</v>
      </c>
      <c r="C11" s="7" t="str">
        <f>Datos!A11</f>
        <v xml:space="preserve">Sección de Familia, infancia y capacidad del TI                           </v>
      </c>
      <c r="D11" s="507"/>
      <c r="E11" s="679">
        <f>IF(ISNUMBER(Datos!AQ11),Datos!AQ11," - ")</f>
        <v>3</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17</v>
      </c>
      <c r="F13" s="933">
        <f t="shared" si="0"/>
        <v>135</v>
      </c>
      <c r="G13" s="933">
        <f t="shared" si="0"/>
        <v>135</v>
      </c>
      <c r="H13" s="933">
        <f t="shared" si="0"/>
        <v>0</v>
      </c>
      <c r="I13" s="935">
        <f t="shared" si="0"/>
        <v>0</v>
      </c>
      <c r="J13" s="934">
        <f t="shared" si="0"/>
        <v>0</v>
      </c>
      <c r="K13" s="934">
        <f t="shared" si="0"/>
        <v>0</v>
      </c>
      <c r="L13" s="936">
        <f t="shared" si="0"/>
        <v>0</v>
      </c>
      <c r="M13" s="936">
        <f t="shared" si="0"/>
        <v>0</v>
      </c>
      <c r="N13" s="934">
        <f t="shared" si="0"/>
        <v>10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67</v>
      </c>
      <c r="AC13" s="934">
        <f t="shared" si="1"/>
        <v>0</v>
      </c>
      <c r="AD13" s="934">
        <f t="shared" si="1"/>
        <v>0</v>
      </c>
      <c r="AE13" s="934">
        <f t="shared" si="1"/>
        <v>0</v>
      </c>
      <c r="AF13" s="934">
        <f t="shared" si="1"/>
        <v>145</v>
      </c>
      <c r="AG13" s="934">
        <f t="shared" si="1"/>
        <v>0</v>
      </c>
      <c r="AH13" s="934">
        <f t="shared" si="1"/>
        <v>0</v>
      </c>
      <c r="AI13" s="934">
        <f t="shared" si="1"/>
        <v>0</v>
      </c>
      <c r="AJ13" s="934">
        <f t="shared" si="1"/>
        <v>0</v>
      </c>
      <c r="AK13" s="934">
        <f t="shared" si="1"/>
        <v>0</v>
      </c>
      <c r="AL13" s="934">
        <f t="shared" si="1"/>
        <v>25</v>
      </c>
      <c r="AM13" s="934">
        <f t="shared" si="1"/>
        <v>26</v>
      </c>
      <c r="AN13" s="934">
        <f t="shared" si="1"/>
        <v>0</v>
      </c>
      <c r="AO13" s="934">
        <f t="shared" si="1"/>
        <v>0</v>
      </c>
      <c r="AP13" s="939">
        <f>IF(ISNUMBER(((Datos!L13/Datos!K13)*11)/factor_trimestre),((Datos!L13/Datos!K13)*11)/factor_trimestre," - ")</f>
        <v>7.5624356523018088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-0.49629629629629629</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6</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5.2117033171822582</v>
      </c>
      <c r="AQ19" s="939">
        <f>IF(ISNUMBER(((Datos!M19/Datos!L19)*11)/factor_trimestre),((Datos!M19/Datos!L19)*11)/factor_trimestre," - ")</f>
        <v>0.21626260459128943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8.9622641509433956E-2</v>
      </c>
      <c r="AW19" s="941">
        <f>IF(ISNUMBER((Datos!Q19-Datos!R19)/(Datos!S19-Datos!Q19+Datos!R19)),(Datos!Q19-Datos!R19)/(Datos!S19-Datos!Q19+Datos!R19)," - ")</f>
        <v>-8.0203045685279181E-2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17</v>
      </c>
      <c r="F20" s="946">
        <f t="shared" si="4"/>
        <v>135</v>
      </c>
      <c r="G20" s="946">
        <f t="shared" si="4"/>
        <v>135</v>
      </c>
      <c r="H20" s="946">
        <f t="shared" si="4"/>
        <v>0</v>
      </c>
      <c r="I20" s="947">
        <f t="shared" si="4"/>
        <v>0</v>
      </c>
      <c r="J20" s="948">
        <f t="shared" si="4"/>
        <v>0</v>
      </c>
      <c r="K20" s="948">
        <f t="shared" si="4"/>
        <v>0</v>
      </c>
      <c r="L20" s="948">
        <f t="shared" si="4"/>
        <v>0</v>
      </c>
      <c r="M20" s="948">
        <f t="shared" si="4"/>
        <v>0</v>
      </c>
      <c r="N20" s="947">
        <f t="shared" si="4"/>
        <v>10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67</v>
      </c>
      <c r="AC20" s="952">
        <f t="shared" si="5"/>
        <v>0</v>
      </c>
      <c r="AD20" s="952">
        <f t="shared" si="5"/>
        <v>0</v>
      </c>
      <c r="AE20" s="952">
        <f t="shared" si="5"/>
        <v>0</v>
      </c>
      <c r="AF20" s="953">
        <f t="shared" si="5"/>
        <v>145</v>
      </c>
      <c r="AG20" s="953">
        <f t="shared" si="5"/>
        <v>0</v>
      </c>
      <c r="AH20" s="953">
        <f t="shared" si="5"/>
        <v>0</v>
      </c>
      <c r="AI20" s="953">
        <f t="shared" si="5"/>
        <v>0</v>
      </c>
      <c r="AJ20" s="954">
        <f t="shared" si="5"/>
        <v>0</v>
      </c>
      <c r="AK20" s="954">
        <f t="shared" si="5"/>
        <v>0</v>
      </c>
      <c r="AL20" s="946">
        <f t="shared" si="5"/>
        <v>25</v>
      </c>
      <c r="AM20" s="946">
        <f t="shared" si="5"/>
        <v>26</v>
      </c>
      <c r="AN20" s="946">
        <f t="shared" si="5"/>
        <v>0</v>
      </c>
      <c r="AO20" s="946">
        <f t="shared" si="5"/>
        <v>0</v>
      </c>
      <c r="AP20" s="946">
        <f>IF(ISNUMBER(((Datos!L20/Datos!K20)*11)/factor_trimestre),((Datos!L20/Datos!K20)*11)/factor_trimestre," - ")</f>
        <v>6.5255240443896421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-0.49629629629629629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7.4686101890604701E-3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7.1180521680208741</v>
      </c>
      <c r="F22" s="733">
        <f>IF(ISNUMBER(STDEV(F8:F19)),STDEV(F8:F19),"-")</f>
        <v>77.94228634059948</v>
      </c>
      <c r="G22" s="734">
        <f>IF(ISNUMBER(STDEV(G8:G19)),STDEV(G8:G19),"-")</f>
        <v>77.94228634059948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38.682468035704929</v>
      </c>
      <c r="AC22" s="735">
        <f>IF(ISNUMBER(STDEV(AC8:AC19)),STDEV(AC8:AC19),"-")</f>
        <v>0</v>
      </c>
      <c r="AD22" s="738"/>
      <c r="AE22" s="738"/>
      <c r="AF22" s="738"/>
      <c r="AG22" s="738"/>
      <c r="AH22" s="738"/>
      <c r="AI22" s="738"/>
      <c r="AJ22" s="739">
        <f>IF(ISNUMBER(STDEV(AJ8:AJ19)),STDEV(AJ8:AJ19),"-")</f>
        <v>0</v>
      </c>
      <c r="AK22" s="741"/>
      <c r="AL22" s="733">
        <f>IF(ISNUMBER(STDEV(AL8:AL19)),STDEV(AL8:AL19),"-")</f>
        <v>14.433756729740644</v>
      </c>
      <c r="AM22" s="733"/>
      <c r="AN22" s="733">
        <f>IF(ISNUMBER(STDEV(AN8:AN19)),STDEV(AN8:AN19),"-")</f>
        <v>0</v>
      </c>
      <c r="AO22" s="739">
        <f>IF(ISNUMBER(STDEV(AO8:AO19)),STDEV(AO8:AO19),"-")</f>
        <v>0</v>
      </c>
      <c r="AP22" s="776">
        <f>IF(ISNUMBER(STDEV(AP8:AP19)),STDEV(AP8:AP19),"-")</f>
        <v>1.1769424152468462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MDrQs5gM2NLQeeM4pkrKAVDFJDXbWrdh5g+lSatw8y2wUYfpAM8edTEDZXu//qFJI+SXa5VbwGi540WN7kSvA==" saltValue="EirMXkMMb2euDv8V5vaR3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VALLADOLID  Resumenes por Partidos Judiciales  VALLADOLID</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12</v>
      </c>
      <c r="B9" s="500" t="s">
        <v>247</v>
      </c>
      <c r="C9" s="159" t="str">
        <f>Datos!A9</f>
        <v>Sección Civil del T.I</v>
      </c>
      <c r="D9" s="501"/>
      <c r="E9" s="259">
        <f>IF(ISNUMBER(Datos!AQ9),Datos!AQ9," - ")</f>
        <v>12</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257</v>
      </c>
      <c r="O9" s="333"/>
      <c r="P9" s="333"/>
      <c r="Q9" s="225">
        <f>IF(ISNUMBER(Datos!P9),Datos!P9,0)</f>
        <v>1710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1546</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256</v>
      </c>
      <c r="AI9" s="224" t="str">
        <f>IF(ISNUMBER(Datos!CD9),Datos!CD9,"-")</f>
        <v>-</v>
      </c>
      <c r="AJ9" s="224" t="str">
        <f>IF(ISNUMBER(Datos!EN9),Datos!EN9," - ")</f>
        <v xml:space="preserve"> - </v>
      </c>
      <c r="AK9" s="333"/>
      <c r="AL9" s="478"/>
      <c r="AM9" s="224">
        <f>IF(ISNUMBER(Datos!R9),Datos!R9," - ")</f>
        <v>26194</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2813</v>
      </c>
      <c r="BD9" s="228">
        <f>IF(ISNUMBER(Datos!N9),Datos!N9," - ")</f>
        <v>2076</v>
      </c>
      <c r="BE9" s="224" t="str">
        <f>IF(ISNUMBER(Datos!BW9),Datos!BW9," - ")</f>
        <v xml:space="preserve"> - </v>
      </c>
      <c r="BF9" s="224" t="str">
        <f>IF(ISNUMBER(Datos!BX9),Datos!BX9," - ")</f>
        <v xml:space="preserve"> - </v>
      </c>
      <c r="BG9" s="242">
        <f>IF(ISNUMBER(IF(J_V="SI",Datos!K9/Datos!J9,(Datos!K9+Datos!AA9)/(Datos!J9+Datos!Z9))),IF(J_V="SI",Datos!K9/Datos!J9,(Datos!K9+Datos!AA9)/(Datos!J9+Datos!Z9))," - ")</f>
        <v>0.94663406214039125</v>
      </c>
      <c r="BH9" s="224">
        <f>IF(ISNUMBER(((IF(J_V="SI",Datos!L9/Datos!K9,(Datos!L9+Datos!AB9)/(Datos!K9+Datos!AA9)))*11)/factor_trimestre),((IF(J_V="SI",Datos!L9/Datos!K9,(Datos!L9+Datos!AB9)/(Datos!K9+Datos!AA9)))*11)/factor_trimestre," - ")</f>
        <v>7.4760674669503118</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6.3004225893200155E-3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1900.5526962732868</v>
      </c>
      <c r="CF9" s="228">
        <f ca="1">AVERAGEIFS($AB:$AB,$BW:$BW,BW9,$BX:$BX,BX9)</f>
        <v>1900.5526962732868</v>
      </c>
      <c r="CG9" s="1191">
        <v>0.7</v>
      </c>
      <c r="CH9" s="1191">
        <f ca="1">AVERAGEIF($BW:$BW,$BW9,$AC:$AC)</f>
        <v>512.72727272727275</v>
      </c>
      <c r="CI9" s="228">
        <f ca="1">AVERAGEIFS($AC:$AC,$BW:$BW,$BW9,$BX:$BX,$BX9)</f>
        <v>512.72727272727275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3155.6666666666665</v>
      </c>
      <c r="CR9" s="228">
        <f ca="1">AVERAGEIFS($AF:$AF,$BW:$BW,BW9,$BX:$BX,BX9)</f>
        <v>3155.6666666666665</v>
      </c>
      <c r="CS9" s="1191">
        <v>1.3</v>
      </c>
      <c r="CT9" s="1191">
        <v>1.5</v>
      </c>
      <c r="CU9" s="1191">
        <f ca="1">AVERAGEIF($BW:$BW,$BW9,$AH:$AH)</f>
        <v>148.125</v>
      </c>
      <c r="CV9" s="228">
        <f ca="1">AVERAGEIFS($AH:$AH,$BW:$BW,$BW9,$BX:$BX,$BX9)</f>
        <v>148.125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7615.363636363636</v>
      </c>
      <c r="DH9" s="228">
        <f ca="1">AVERAGEIFS($AM:$AM,$BW:$BW,$BW9,$BX:$BX,$BX9)</f>
        <v>7615.363636363636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3.8702170556495736</v>
      </c>
      <c r="ER9" s="228">
        <f ca="1">AVERAGEIFS($BH:$BH,$BW:$BW,$BW9,$BX:$BX,$BX9)</f>
        <v>3.8702170556495736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135</v>
      </c>
      <c r="G10" s="332">
        <f>IF(ISNUMBER(Datos!I10),Datos!I10," - ")</f>
        <v>135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67</v>
      </c>
      <c r="AC10" s="224">
        <f>IF(ISNUMBER(Datos!Q10),Datos!Q10," - ")</f>
        <v>5</v>
      </c>
      <c r="AD10" s="224"/>
      <c r="AE10" s="224"/>
      <c r="AF10" s="224">
        <f>IF(ISNUMBER(Datos!L10),Datos!L10,"-")</f>
        <v>145</v>
      </c>
      <c r="AG10" s="333"/>
      <c r="AH10" s="224"/>
      <c r="AI10" s="224"/>
      <c r="AJ10" s="224"/>
      <c r="AK10" s="333"/>
      <c r="AL10" s="478"/>
      <c r="AM10" s="224">
        <f>IF(ISNUMBER(Datos!R10),Datos!R10," - ")</f>
        <v>114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25</v>
      </c>
      <c r="BD10" s="228">
        <f>IF(ISNUMBER(Datos!N10),Datos!N10," - ")</f>
        <v>26</v>
      </c>
      <c r="BE10" s="224" t="str">
        <f>IF(ISNUMBER(Datos!BW10),Datos!BW10," - ")</f>
        <v xml:space="preserve"> - </v>
      </c>
      <c r="BF10" s="224" t="str">
        <f>IF(ISNUMBER(Datos!BX10),Datos!BX10," - ")</f>
        <v xml:space="preserve"> - </v>
      </c>
      <c r="BG10" s="242">
        <f>IF(ISNUMBER(Datos!K10/Datos!J10),Datos!K10/Datos!J10," - ")</f>
        <v>0.87012987012987009</v>
      </c>
      <c r="BH10" s="224">
        <f>IF(ISNUMBER(((Datos!L10/Datos!K10)*11)/factor_trimestre),((Datos!L10/Datos!K10)*11)/factor_trimestre," - ")</f>
        <v>6.4925373134328348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4.5871559633027525E-2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1900.5526962732868</v>
      </c>
      <c r="CF10" s="228">
        <f ca="1">AVERAGEIFS($AB:$AB,$BW:$BW,BW10,$BX:$BX,BX10)</f>
        <v>1900.5526962732868</v>
      </c>
      <c r="CG10" s="1191">
        <v>0.7</v>
      </c>
      <c r="CH10" s="1191">
        <f ca="1">AVERAGEIF($BW:$BW,BW10,$AC:$AC)</f>
        <v>512.72727272727275</v>
      </c>
      <c r="CI10" s="228">
        <f ca="1">AVERAGEIFS($AC:$AC,$BW:$BW,BW10,$BX:$BX,BX10)</f>
        <v>512.72727272727275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3155.6666666666665</v>
      </c>
      <c r="CR10" s="228">
        <f ca="1">AVERAGEIFS($AF:$AF,$BW:$BW,BW10,$BX:$BX,BX10)</f>
        <v>3155.6666666666665</v>
      </c>
      <c r="CS10" s="1191">
        <v>1.3</v>
      </c>
      <c r="CT10" s="1191">
        <v>1.5</v>
      </c>
      <c r="CU10" s="1191">
        <f ca="1">AVERAGEIF($BW:$BW,$BW10,$AH:$AH)</f>
        <v>148.125</v>
      </c>
      <c r="CV10" s="228">
        <f ca="1">AVERAGEIFS($AH:$AH,$BW:$BW,$BW10,$BX:$BX,$BX10)</f>
        <v>148.125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7615.363636363636</v>
      </c>
      <c r="DH10" s="228">
        <f ca="1">AVERAGEIFS($AM:$AM,$BW:$BW,$BW10,$BX:$BX,$BX10)</f>
        <v>7615.363636363636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3.8702170556495736</v>
      </c>
      <c r="ER10" s="228">
        <f ca="1">AVERAGEIFS($BH:$BH,$BW:$BW,$BW10,$BX:$BX,$BX10)</f>
        <v>3.8702170556495736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3</v>
      </c>
      <c r="B11" s="506" t="s">
        <v>247</v>
      </c>
      <c r="C11" s="7" t="str">
        <f>Datos!A11</f>
        <v xml:space="preserve">Sección de Familia, infancia y capacidad del TI                           </v>
      </c>
      <c r="D11" s="507"/>
      <c r="E11" s="259">
        <f>IF(ISNUMBER(Datos!AQ11),Datos!AQ11," - ")</f>
        <v>3</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301</v>
      </c>
      <c r="O11" s="333"/>
      <c r="P11" s="333"/>
      <c r="Q11" s="225">
        <f>IF(ISNUMBER(Datos!P11),Datos!P11,0)</f>
        <v>91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110</v>
      </c>
      <c r="AD11" s="224"/>
      <c r="AE11" s="224"/>
      <c r="AF11" s="224" t="str">
        <f>IF(ISNUMBER(IF(J_V="SI",Datos!L11,Datos!L11+Datos!AB11)-IF(Monitorios="SI",Datos!CD11,0)),
                          IF(J_V="SI",Datos!L11,Datos!L11+Datos!AB11)-IF(Monitorios="SI",Datos!CD11,0),
                          " - ")</f>
        <v xml:space="preserve"> - </v>
      </c>
      <c r="AG11" s="333"/>
      <c r="AH11" s="224">
        <f>IF(ISNUMBER(Datos!AB11),Datos!AB11,"-")</f>
        <v>139</v>
      </c>
      <c r="AI11" s="224"/>
      <c r="AJ11" s="224"/>
      <c r="AK11" s="333"/>
      <c r="AL11" s="478"/>
      <c r="AM11" s="224">
        <f>IF(ISNUMBER(Datos!R11),Datos!R11," - ")</f>
        <v>922</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210</v>
      </c>
      <c r="BD11" s="228">
        <f>IF(ISNUMBER(Datos!N11),Datos!N11," - ")</f>
        <v>411</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0.99641148325358853</v>
      </c>
      <c r="BH11" s="224">
        <f>IF(ISNUMBER(((IF(J_V="SI",Datos!L11/Datos!K11,(Datos!L11+Datos!AB11)/(Datos!K11+Datos!AA11)))*11)/factor_trimestre),((IF(J_V="SI",Datos!L11/Datos!K11,(Datos!L11+Datos!AB11)/(Datos!K11+Datos!AA11)))*11)/factor_trimestre," - ")</f>
        <v>3.5618247298919568</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-2.0191285866099893E-2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1900.5526962732868</v>
      </c>
      <c r="CF11" s="228">
        <f ca="1">AVERAGEIFS($AB:$AB,$BW:$BW,BW11,$BX:$BX,BX11)</f>
        <v>1900.5526962732868</v>
      </c>
      <c r="CG11" s="1191">
        <v>0.7</v>
      </c>
      <c r="CH11" s="1191">
        <f ca="1">AVERAGEIF($BW:$BW,BW11,$AC:$AC)</f>
        <v>512.72727272727275</v>
      </c>
      <c r="CI11" s="228">
        <f ca="1">AVERAGEIFS($AC:$AC,$BW:$BW,BW11,$BX:$BX,BX11)</f>
        <v>512.72727272727275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3155.6666666666665</v>
      </c>
      <c r="CR11" s="228">
        <f ca="1">AVERAGEIFS($AF:$AF,$BW:$BW,BW11,$BX:$BX,BX11)</f>
        <v>3155.6666666666665</v>
      </c>
      <c r="CS11" s="1191">
        <v>1.3</v>
      </c>
      <c r="CT11" s="1191">
        <v>1.5</v>
      </c>
      <c r="CU11" s="1191">
        <f ca="1">AVERAGEIF($BW:$BW,$BW11,$AH:$AH)</f>
        <v>148.125</v>
      </c>
      <c r="CV11" s="228">
        <f ca="1">AVERAGEIFS($AH:$AH,$BW:$BW,$BW11,$BX:$BX,$BX11)</f>
        <v>148.125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7615.363636363636</v>
      </c>
      <c r="DH11" s="228">
        <f ca="1">AVERAGEIFS($AM:$AM,$BW:$BW,$BW11,$BX:$BX,$BX11)</f>
        <v>7615.363636363636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3.8702170556495736</v>
      </c>
      <c r="ER11" s="228">
        <f ca="1">AVERAGEIFS($BH:$BH,$BW:$BW,$BW11,$BX:$BX,$BX11)</f>
        <v>3.8702170556495736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1900.5526962732868</v>
      </c>
      <c r="CF12" s="228">
        <f ca="1">AVERAGEIFS($AB:$AB,$BW:$BW,BW12,$BX:$BX,BX12)</f>
        <v>1900.5526962732868</v>
      </c>
      <c r="CG12" s="1191">
        <v>0.7</v>
      </c>
      <c r="CH12" s="1191">
        <f ca="1">AVERAGEIF($BW:$BW,BW12,$AC:$AC)</f>
        <v>512.72727272727275</v>
      </c>
      <c r="CI12" s="228">
        <f ca="1">AVERAGEIFS($AC:$AC,$BW:$BW,BW12,$BX:$BX,BX12)</f>
        <v>512.72727272727275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3155.6666666666665</v>
      </c>
      <c r="CR12" s="228">
        <f ca="1">AVERAGEIFS($AF:$AF,$BW:$BW,BW12,$BX:$BX,BX12)</f>
        <v>3155.6666666666665</v>
      </c>
      <c r="CS12" s="1191">
        <v>1.3</v>
      </c>
      <c r="CT12" s="1191">
        <v>1.5</v>
      </c>
      <c r="CU12" s="1191">
        <f ca="1">AVERAGEIF($BW:$BW,$BW12,$AH:$AH)</f>
        <v>148.125</v>
      </c>
      <c r="CV12" s="228">
        <f ca="1">AVERAGEIFS($AH:$AH,$BW:$BW,$BW12,$BX:$BX,$BX12)</f>
        <v>148.125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7615.363636363636</v>
      </c>
      <c r="DH12" s="228">
        <f ca="1">AVERAGEIFS($AM:$AM,$BW:$BW,$BW12,$BX:$BX,$BX12)</f>
        <v>7615.363636363636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3.8702170556495736</v>
      </c>
      <c r="ER12" s="228">
        <f ca="1">AVERAGEIFS($BH:$BH,$BW:$BW,$BW12,$BX:$BX,$BX12)</f>
        <v>3.8702170556495736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17</v>
      </c>
      <c r="F13" s="895">
        <f t="shared" si="1"/>
        <v>135</v>
      </c>
      <c r="G13" s="895">
        <f t="shared" si="1"/>
        <v>135</v>
      </c>
      <c r="H13" s="896">
        <f t="shared" si="1"/>
        <v>0</v>
      </c>
      <c r="I13" s="895">
        <f t="shared" si="1"/>
        <v>0</v>
      </c>
      <c r="J13" s="864">
        <f t="shared" si="1"/>
        <v>0</v>
      </c>
      <c r="K13" s="864">
        <f t="shared" si="1"/>
        <v>0</v>
      </c>
      <c r="L13" s="896">
        <f t="shared" si="1"/>
        <v>0</v>
      </c>
      <c r="M13" s="896">
        <f t="shared" si="1"/>
        <v>0</v>
      </c>
      <c r="N13" s="896">
        <f t="shared" si="1"/>
        <v>558</v>
      </c>
      <c r="O13" s="897">
        <f t="shared" si="1"/>
        <v>0</v>
      </c>
      <c r="P13" s="897">
        <f t="shared" si="1"/>
        <v>0</v>
      </c>
      <c r="Q13" s="896">
        <f t="shared" si="1"/>
        <v>1811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67</v>
      </c>
      <c r="AC13" s="896">
        <f t="shared" si="2"/>
        <v>1661</v>
      </c>
      <c r="AD13" s="896">
        <f t="shared" si="2"/>
        <v>0</v>
      </c>
      <c r="AE13" s="896">
        <f t="shared" si="2"/>
        <v>0</v>
      </c>
      <c r="AF13" s="896">
        <f t="shared" si="2"/>
        <v>145</v>
      </c>
      <c r="AG13" s="896">
        <f t="shared" si="2"/>
        <v>0</v>
      </c>
      <c r="AH13" s="896">
        <f t="shared" si="2"/>
        <v>395</v>
      </c>
      <c r="AI13" s="896">
        <f t="shared" si="2"/>
        <v>0</v>
      </c>
      <c r="AJ13" s="896">
        <f t="shared" si="2"/>
        <v>0</v>
      </c>
      <c r="AK13" s="896">
        <f t="shared" si="2"/>
        <v>0</v>
      </c>
      <c r="AL13" s="896">
        <f t="shared" si="2"/>
        <v>0</v>
      </c>
      <c r="AM13" s="896">
        <f t="shared" si="2"/>
        <v>27230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3048</v>
      </c>
      <c r="BD13" s="896">
        <f t="shared" si="2"/>
        <v>2513</v>
      </c>
      <c r="BE13" s="896">
        <f t="shared" si="2"/>
        <v>0</v>
      </c>
      <c r="BF13" s="896">
        <f t="shared" si="2"/>
        <v>0</v>
      </c>
      <c r="BG13" s="896">
        <f>IF(ISNUMBER(Datos!K13/Datos!J13),Datos!K13/Datos!J13," - ")</f>
        <v>0.93047762419597646</v>
      </c>
      <c r="BH13" s="900">
        <f>IF(ISNUMBER(((Datos!L13/Datos!K13)*11)/factor_trimestre),((Datos!L13/Datos!K13)*11)/factor_trimestre," - ")</f>
        <v>7.5624356523018088</v>
      </c>
      <c r="BI13" s="896">
        <f>IF(ISNUMBER('Resol  Asuntos'!D13/NºAsuntos!G13),'Resol  Asuntos'!D13/NºAsuntos!G13," - ")</f>
        <v>0.40743216147573852</v>
      </c>
      <c r="BJ13" s="896" t="str">
        <f>IF(ISNUMBER(Datos!CI13/Datos!CJ13),Datos!CI13/Datos!CJ13," - ")</f>
        <v xml:space="preserve"> - </v>
      </c>
      <c r="BK13" s="896">
        <f>SUBTOTAL(9,BK8:BK12)</f>
        <v>0</v>
      </c>
      <c r="BL13" s="896">
        <f>IF(ISNUMBER((I13-AB13+L13)/(F13)),(I13-AB13+L13)/(F13)," - ")</f>
        <v>-0.49629629629629629</v>
      </c>
      <c r="BM13" s="901">
        <f>SUBTOTAL(9,BM9:BM12)</f>
        <v>3.1980696356247645E-2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6</v>
      </c>
      <c r="B15" s="593" t="s">
        <v>397</v>
      </c>
      <c r="C15" s="598" t="str">
        <f>Datos!A15</f>
        <v xml:space="preserve">Seccion Instruccion Del T.I.                   </v>
      </c>
      <c r="D15" s="599"/>
      <c r="E15" s="1160">
        <f>IF(ISNUMBER(Datos!AQ15),Datos!AQ15," - ")</f>
        <v>6</v>
      </c>
      <c r="F15" s="594">
        <f>IF(ISNUMBER(AF15+AB15-Datos!J15-L15),AF15+AB15-Datos!J15-L15," - ")</f>
        <v>8235</v>
      </c>
      <c r="G15" s="596">
        <f>IF(ISNUMBER(IF(D_I="SI",Datos!I15,Datos!I15+Datos!AC15)),IF(D_I="SI",Datos!I15,Datos!I15+Datos!AC15)," - ")</f>
        <v>8166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272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4887</v>
      </c>
      <c r="AC15" s="224">
        <f>IF(ISNUMBER(Datos!Q15),Datos!Q15," - ")</f>
        <v>214</v>
      </c>
      <c r="AD15" s="224"/>
      <c r="AE15" s="224"/>
      <c r="AF15" s="224">
        <f>IF(ISNUMBER(IF(D_I="SI",Datos!L15,Datos!L15+Datos!AF15)),IF(D_I="SI",Datos!L15,Datos!L15+Datos!AF15)," - ")</f>
        <v>8993</v>
      </c>
      <c r="AG15" s="333"/>
      <c r="AH15" s="224"/>
      <c r="AI15" s="224"/>
      <c r="AJ15" s="224"/>
      <c r="AK15" s="333"/>
      <c r="AL15" s="478"/>
      <c r="AM15" s="224">
        <f>IF(ISNUMBER(Datos!R15),Datos!R15," - ")</f>
        <v>685</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639</v>
      </c>
      <c r="BD15" s="228">
        <f>IF(ISNUMBER(Datos!N15),Datos!N15," - ")</f>
        <v>2815</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0.86572187776793619</v>
      </c>
      <c r="BH15" s="224">
        <f>IF(ISNUMBER(((IF(D_I="SI",Datos!L15/Datos!K15,(Datos!L15+Datos!AF15)/(Datos!K15+Datos!AE15)))*11)/factor_trimestre),((IF(D_I="SI",Datos!L15/Datos!K15,(Datos!L15+Datos!AF15)/(Datos!K15+Datos!AE15)))*11)/factor_trimestre," - ")</f>
        <v>5.5205647636586859</v>
      </c>
      <c r="BI15" s="242">
        <f>IF(ISNUMBER('Resol  Asuntos'!D15/NºAsuntos!G15),'Resol  Asuntos'!D15/NºAsuntos!G15," - ")</f>
        <v>0.13075506445672191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1900.5526962732868</v>
      </c>
      <c r="CF15" s="228">
        <f ca="1">AVERAGEIFS($AB:$AB,$BW:$BW,BW15,$BX:$BX,BX15)</f>
        <v>1900.5526962732868</v>
      </c>
      <c r="CG15" s="1191">
        <v>0.7</v>
      </c>
      <c r="CH15" s="1191">
        <f ca="1">AVERAGEIF($BW:$BW,BW15,$AC:$AC)</f>
        <v>512.72727272727275</v>
      </c>
      <c r="CI15" s="228">
        <f ca="1">AVERAGEIFS($AC:$AC,$BW:$BW,BW15,$BX:$BX,BX15)</f>
        <v>512.72727272727275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3155.6666666666665</v>
      </c>
      <c r="CR15" s="228">
        <f ca="1">AVERAGEIFS($AF:$AF,$BW:$BW,BW15,$BX:$BX,BX15)</f>
        <v>3155.6666666666665</v>
      </c>
      <c r="CS15" s="1191">
        <v>1.3</v>
      </c>
      <c r="CT15" s="1191">
        <v>1.5</v>
      </c>
      <c r="CU15" s="1191">
        <f ca="1">AVERAGEIF($BW:$BW,$BW15,$AH:$AH)</f>
        <v>148.125</v>
      </c>
      <c r="CV15" s="228">
        <f ca="1">AVERAGEIFS($AH:$AH,$BW:$BW,$BW15,$BX:$BX,$BX15)</f>
        <v>148.125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7615.363636363636</v>
      </c>
      <c r="DH15" s="228">
        <f ca="1">AVERAGEIFS($AM:$AM,$BW:$BW,$BW15,$BX:$BX,$BX15)</f>
        <v>7615.363636363636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3.8702170556495736</v>
      </c>
      <c r="ER15" s="228">
        <f ca="1">AVERAGEIFS($BH:$BH,$BW:$BW,$BW15,$BX:$BX,$BX15)</f>
        <v>3.8702170556495736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1900.5526962732868</v>
      </c>
      <c r="CF16" s="228">
        <f ca="1">AVERAGEIFS($AB:$AB,$BW:$BW,BW16,$BX:$BX,BX16)</f>
        <v>1900.5526962732868</v>
      </c>
      <c r="CG16" s="1191">
        <v>0.7</v>
      </c>
      <c r="CH16" s="1191">
        <f ca="1">AVERAGEIF($BW:$BW,BW16,$AC:$AC)</f>
        <v>512.72727272727275</v>
      </c>
      <c r="CI16" s="228">
        <f ca="1">AVERAGEIFS($AC:$AC,$BW:$BW,BW16,$BX:$BX,BX16)</f>
        <v>512.72727272727275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3155.6666666666665</v>
      </c>
      <c r="CR16" s="228">
        <f ca="1">AVERAGEIFS($AF:$AF,$BW:$BW,BW16,$BX:$BX,BX16)</f>
        <v>3155.6666666666665</v>
      </c>
      <c r="CS16" s="1191">
        <v>1.3</v>
      </c>
      <c r="CT16" s="1191">
        <v>1.5</v>
      </c>
      <c r="CU16" s="1191">
        <f ca="1">AVERAGEIF($BW:$BW,$BW16,$AH:$AH)</f>
        <v>148.125</v>
      </c>
      <c r="CV16" s="228">
        <f ca="1">AVERAGEIFS($AH:$AH,$BW:$BW,$BW16,$BX:$BX,$BX16)</f>
        <v>148.125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7615.363636363636</v>
      </c>
      <c r="DH16" s="228">
        <f ca="1">AVERAGEIFS($AM:$AM,$BW:$BW,$BW16,$BX:$BX,$BX16)</f>
        <v>7615.363636363636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3.8702170556495736</v>
      </c>
      <c r="ER16" s="228">
        <f ca="1">AVERAGEIFS($BH:$BH,$BW:$BW,$BW16,$BX:$BX,$BX16)</f>
        <v>3.8702170556495736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1900.5526962732868</v>
      </c>
      <c r="CF17" s="228">
        <f ca="1">AVERAGEIFS($AB:$AB,$BW:$BW,BW17,$BX:$BX,BX17)</f>
        <v>1900.5526962732868</v>
      </c>
      <c r="CG17" s="1191">
        <v>0.7</v>
      </c>
      <c r="CH17" s="1191">
        <f ca="1">AVERAGEIF($BW:$BW,BW17,$AC:$AC)</f>
        <v>512.72727272727275</v>
      </c>
      <c r="CI17" s="228">
        <f ca="1">AVERAGEIFS($AC:$AC,$BW:$BW,BW17,$BX:$BX,BX17)</f>
        <v>512.72727272727275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3155.6666666666665</v>
      </c>
      <c r="CR17" s="228">
        <f ca="1">AVERAGEIFS($AF:$AF,$BW:$BW,BW17,$BX:$BX,BX17)</f>
        <v>3155.6666666666665</v>
      </c>
      <c r="CS17" s="1191">
        <v>1.3</v>
      </c>
      <c r="CT17" s="1191">
        <v>1.5</v>
      </c>
      <c r="CU17" s="1191">
        <f ca="1">AVERAGEIF($BW:$BW,$BW17,$AH:$AH)</f>
        <v>148.125</v>
      </c>
      <c r="CV17" s="228">
        <f ca="1">AVERAGEIFS($AH:$AH,$BW:$BW,$BW17,$BX:$BX,$BX17)</f>
        <v>148.125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7615.363636363636</v>
      </c>
      <c r="DH17" s="228">
        <f ca="1">AVERAGEIFS($AM:$AM,$BW:$BW,$BW17,$BX:$BX,$BX17)</f>
        <v>7615.363636363636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3.8702170556495736</v>
      </c>
      <c r="ER17" s="228">
        <f ca="1">AVERAGEIFS($BH:$BH,$BW:$BW,$BW17,$BX:$BX,$BX17)</f>
        <v>3.8702170556495736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266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479</v>
      </c>
      <c r="AC18" s="224">
        <f>IF(ISNUMBER(Datos!Q18),Datos!Q18," - ")</f>
        <v>5</v>
      </c>
      <c r="AD18" s="224"/>
      <c r="AE18" s="224"/>
      <c r="AF18" s="224">
        <f>IF(ISNUMBER(Datos!L18),Datos!L18,"-")</f>
        <v>329</v>
      </c>
      <c r="AG18" s="333"/>
      <c r="AH18" s="224"/>
      <c r="AI18" s="224"/>
      <c r="AJ18" s="224"/>
      <c r="AK18" s="333"/>
      <c r="AL18" s="478"/>
      <c r="AM18" s="224">
        <f>IF(ISNUMBER(Datos!R18),Datos!R18," - ")</f>
        <v>8</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33</v>
      </c>
      <c r="BD18" s="228">
        <f>IF(ISNUMBER(Datos!N18),Datos!N18," - ")</f>
        <v>365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0.87889908256880733</v>
      </c>
      <c r="BH18" s="224">
        <f>IF(ISNUMBER(((IF(D_I="SI",Datos!L18/Datos!K18,(Datos!L18+Datos!AF18)/(Datos!K18+Datos!AE18)))*11)/factor_trimestre),((IF(D_I="SI",Datos!L18/Datos!K18,(Datos!L18+Datos!AF18)/(Datos!K18+Datos!AE18)))*11)/factor_trimestre," - ")</f>
        <v>2.0605427974947808</v>
      </c>
      <c r="BI18" s="242">
        <f>IF(ISNUMBER('Resol  Asuntos'!D18/NºAsuntos!G18),'Resol  Asuntos'!D18/NºAsuntos!G18," - ")</f>
        <v>6.889352818371608E-2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1900.5526962732868</v>
      </c>
      <c r="CF18" s="228">
        <f ca="1">AVERAGEIFS($AB:$AB,$BW:$BW,BW18,$BX:$BX,BX18)</f>
        <v>1900.5526962732868</v>
      </c>
      <c r="CG18" s="1191">
        <v>0.7</v>
      </c>
      <c r="CH18" s="1191">
        <f ca="1">AVERAGEIF($BW:$BW,BW18,$AC:$AC)</f>
        <v>512.72727272727275</v>
      </c>
      <c r="CI18" s="228">
        <f ca="1">AVERAGEIFS($AC:$AC,$BW:$BW,BW18,$BX:$BX,BX18)</f>
        <v>512.72727272727275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3155.6666666666665</v>
      </c>
      <c r="CR18" s="228">
        <f ca="1">AVERAGEIFS($AF:$AF,$BW:$BW,BW18,$BX:$BX,BX18)</f>
        <v>3155.6666666666665</v>
      </c>
      <c r="CS18" s="1191">
        <v>1.3</v>
      </c>
      <c r="CT18" s="1191">
        <v>1.5</v>
      </c>
      <c r="CU18" s="1191">
        <f ca="1">AVERAGEIF($BW:$BW,$BW18,$AH:$AH)</f>
        <v>148.125</v>
      </c>
      <c r="CV18" s="228">
        <f ca="1">AVERAGEIFS($AH:$AH,$BW:$BW,$BW18,$BX:$BX,$BX18)</f>
        <v>148.125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7615.363636363636</v>
      </c>
      <c r="DH18" s="228">
        <f ca="1">AVERAGEIFS($AM:$AM,$BW:$BW,$BW18,$BX:$BX,$BX18)</f>
        <v>7615.363636363636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3.8702170556495736</v>
      </c>
      <c r="ER18" s="228">
        <f ca="1">AVERAGEIFS($BH:$BH,$BW:$BW,$BW18,$BX:$BX,$BX18)</f>
        <v>3.8702170556495736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8235</v>
      </c>
      <c r="G19" s="895">
        <f>SUBTOTAL(9,G15:G18)</f>
        <v>8432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276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5366</v>
      </c>
      <c r="AC19" s="896">
        <f t="shared" si="5"/>
        <v>219</v>
      </c>
      <c r="AD19" s="896">
        <f t="shared" si="5"/>
        <v>0</v>
      </c>
      <c r="AE19" s="896">
        <f t="shared" si="5"/>
        <v>0</v>
      </c>
      <c r="AF19" s="896">
        <f t="shared" si="5"/>
        <v>9322</v>
      </c>
      <c r="AG19" s="896">
        <f t="shared" si="5"/>
        <v>0</v>
      </c>
      <c r="AH19" s="896">
        <f t="shared" si="5"/>
        <v>0</v>
      </c>
      <c r="AI19" s="896">
        <f t="shared" si="5"/>
        <v>0</v>
      </c>
      <c r="AJ19" s="896">
        <f t="shared" si="5"/>
        <v>0</v>
      </c>
      <c r="AK19" s="896">
        <f t="shared" si="5"/>
        <v>0</v>
      </c>
      <c r="AL19" s="896">
        <f t="shared" si="5"/>
        <v>0</v>
      </c>
      <c r="AM19" s="896">
        <f t="shared" si="5"/>
        <v>693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672</v>
      </c>
      <c r="BD19" s="896">
        <f t="shared" si="5"/>
        <v>3180</v>
      </c>
      <c r="BE19" s="896">
        <f t="shared" si="5"/>
        <v>0</v>
      </c>
      <c r="BF19" s="896">
        <f t="shared" si="5"/>
        <v>0</v>
      </c>
      <c r="BG19" s="896">
        <f>IF(ISNUMBER(Datos!K19/Datos!J19),Datos!K19/Datos!J19," - ")</f>
        <v>0.86688206785137323</v>
      </c>
      <c r="BH19" s="900">
        <f>IF(ISNUMBER(((Datos!L19/Datos!K19)*11)/factor_trimestre),((Datos!L19/Datos!K19)*11)/factor_trimestre," - ")</f>
        <v>5.2117033171822582</v>
      </c>
      <c r="BI19" s="896">
        <f>SUBTOTAL(9,BI15:BI18)</f>
        <v>0.19964859264043799</v>
      </c>
      <c r="BJ19" s="896">
        <f>SUBTOTAL(9,BJ15:BJ18)</f>
        <v>0</v>
      </c>
      <c r="BK19" s="896">
        <f>SUBTOTAL(9,BK15:BK18)</f>
        <v>0</v>
      </c>
      <c r="BL19" s="896">
        <f>IF(ISNUMBER((I19-AB19+L19)/(F19)),(I19-AB19+L19)/(F19)," - ")</f>
        <v>-0.65160898603521555</v>
      </c>
      <c r="BM19" s="902">
        <f>IF(ISNUMBER((Datos!P19-Datos!Q19)/(Datos!R19-Datos!P19+Datos!Q19)),(Datos!P19-Datos!Q19)/(Datos!R19-Datos!P19+Datos!Q19)," - ")</f>
        <v>8.9622641509433956E-2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25</v>
      </c>
      <c r="F20" s="817">
        <f t="shared" si="7"/>
        <v>8370</v>
      </c>
      <c r="G20" s="817">
        <f t="shared" si="7"/>
        <v>8567</v>
      </c>
      <c r="H20" s="819">
        <f t="shared" si="7"/>
        <v>0</v>
      </c>
      <c r="I20" s="817">
        <f t="shared" si="7"/>
        <v>0</v>
      </c>
      <c r="J20" s="819">
        <f t="shared" si="7"/>
        <v>0</v>
      </c>
      <c r="K20" s="819">
        <f t="shared" si="7"/>
        <v>0</v>
      </c>
      <c r="L20" s="878">
        <f t="shared" si="7"/>
        <v>0</v>
      </c>
      <c r="M20" s="878">
        <f t="shared" si="7"/>
        <v>0</v>
      </c>
      <c r="N20" s="878">
        <f t="shared" si="7"/>
        <v>558</v>
      </c>
      <c r="O20" s="878">
        <f t="shared" si="7"/>
        <v>0</v>
      </c>
      <c r="P20" s="878">
        <f t="shared" si="7"/>
        <v>0</v>
      </c>
      <c r="Q20" s="819">
        <f t="shared" si="7"/>
        <v>2087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5433</v>
      </c>
      <c r="AC20" s="818">
        <f t="shared" si="8"/>
        <v>1880</v>
      </c>
      <c r="AD20" s="818">
        <f t="shared" si="8"/>
        <v>0</v>
      </c>
      <c r="AE20" s="818">
        <f t="shared" si="8"/>
        <v>0</v>
      </c>
      <c r="AF20" s="825">
        <f t="shared" si="8"/>
        <v>9467</v>
      </c>
      <c r="AG20" s="825">
        <f t="shared" si="8"/>
        <v>0</v>
      </c>
      <c r="AH20" s="825">
        <f t="shared" si="8"/>
        <v>395</v>
      </c>
      <c r="AI20" s="825">
        <f t="shared" si="8"/>
        <v>0</v>
      </c>
      <c r="AJ20" s="818">
        <f t="shared" si="8"/>
        <v>0</v>
      </c>
      <c r="AK20" s="825">
        <f t="shared" si="8"/>
        <v>0</v>
      </c>
      <c r="AL20" s="825">
        <f t="shared" si="8"/>
        <v>0</v>
      </c>
      <c r="AM20" s="825">
        <f t="shared" si="8"/>
        <v>27923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3720</v>
      </c>
      <c r="BD20" s="817">
        <f t="shared" si="8"/>
        <v>5693</v>
      </c>
      <c r="BE20" s="817">
        <f t="shared" si="8"/>
        <v>0</v>
      </c>
      <c r="BF20" s="827">
        <f t="shared" si="8"/>
        <v>0</v>
      </c>
      <c r="BG20" s="912">
        <f>IF(ISNUMBER(Datos!K20/Datos!J20),Datos!K20/Datos!J20," - ")</f>
        <v>0.90131140253389641</v>
      </c>
      <c r="BH20" s="912">
        <f>IF(ISNUMBER(((Datos!L20/Datos!K20)*11)/factor_trimestre),((Datos!L20/Datos!K20)*11)/factor_trimestre," - ")</f>
        <v>6.5255240443896421</v>
      </c>
      <c r="BI20" s="810">
        <f>IF(ISNUMBER(Datos!J20/Datos!I20),Datos!J20/Datos!I20," - ")</f>
        <v>0.53850143632301306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-0.64910394265232974</v>
      </c>
      <c r="BM20" s="886">
        <f>IF(ISNUMBER((Datos!P20-Datos!Q20+R20)/(Datos!R20-Datos!P20+Datos!Q20-R20)),(Datos!P20-Datos!Q20+R20)/(Datos!R20-Datos!P20+Datos!Q20-R20)," - ")</f>
        <v>7.4686101890604701E-3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3426.8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5.7735026918962582</v>
      </c>
      <c r="F22" s="550">
        <f>IF(ISNUMBER(STDEV(F8:F19)),STDEV(F8:F19),"-")</f>
        <v>4676.5371804359684</v>
      </c>
      <c r="G22" s="551">
        <f>IF(ISNUMBER(STDEV(G8:G19)),STDEV(G8:G19),"-")</f>
        <v>4449.0053607519958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2706.5269627328676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1303.9257939739041</v>
      </c>
      <c r="BD22" s="550"/>
      <c r="BE22" s="550">
        <f>IF(ISNUMBER(STDEV(BE8:BE19)),STDEV(BE8:BE19),"-")</f>
        <v>0</v>
      </c>
      <c r="BF22" s="555">
        <f>IF(ISNUMBER(STDEV(BF8:BF19)),STDEV(BF8:BF19),"-")</f>
        <v>0</v>
      </c>
      <c r="BG22" s="772">
        <f>IF(ISNUMBER(STDEV(BG8:BG19)),STDEV(BG8:BG19),"-")</f>
        <v>5.0946797523687838E-2</v>
      </c>
      <c r="BH22" s="773">
        <f>IF(ISNUMBER(STDEV(BH8:BH19)),STDEV(BH8:BH19),"-")</f>
        <v>2.0314045824926046</v>
      </c>
      <c r="BI22" s="248">
        <f>IF(ISNUMBER(STDEV(BI8:BI19)),STDEV(BI8:BI19),"-")</f>
        <v>0.14719677546875054</v>
      </c>
      <c r="BJ22" s="986" t="str">
        <f>IF(ISNUMBER(BL22/BM22),BL22/BM22," - ")</f>
        <v xml:space="preserve"> - </v>
      </c>
      <c r="BK22" s="574"/>
      <c r="BL22" s="558">
        <f>IF(ISNUMBER(STDEV(BL8:BL19)),STDEV(BL8:BL19),"-")</f>
        <v>0.10982265611871182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a308d8u+9zm2a1wPgPUD5aEQqioAtvvGcU+jK8IFM+Z2IMbZVftoVHL4vuQuILCNsosFDJqnjr8yH42++YgtA==" saltValue="frMTkmPXb0H4thzD1JsaB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VALLADOLID  Resumenes por Partidos Judiciales  VALLADOLID</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0.40743216147573852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0.28809804425298713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0u+dyUQFxxEKOPwTDueZ7QCOPUAxzHJWed17dJcIE1G6HQiWSv02NbYH7i2QUouH0tsBPL+oxgIzR2h12yIzjQ==" saltValue="dQ+atT8BiYezks8kATR/N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VALLADOLID</v>
      </c>
      <c r="C4" s="787" t="str">
        <f>IF(Criterios!B11=0,"",Criterios!B11)</f>
        <v>VALLADOLID</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5DmQkxo9FWFbJM8q4CTpVUDnrOpdqAkw6QLXmUAHSUYSXsfvwFkPbe2LN7IOifKiKARCVhzZ33g88Ni6J2X/A==" saltValue="FYuhzFs7HOSr3EqcB5jTZ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